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11095_jez_brantice\211095_31_C01_dps\III_Soupis_praci_a_dodavek\Soupis praci_vykaz_vymer\Vykaz_vymer\"/>
    </mc:Choice>
  </mc:AlternateContent>
  <xr:revisionPtr revIDLastSave="0" documentId="13_ncr:1_{F2CD1088-EBCD-4433-82D1-209E77CF8B58}" xr6:coauthVersionLast="45" xr6:coauthVersionMax="45" xr10:uidLastSave="{00000000-0000-0000-0000-000000000000}"/>
  <bookViews>
    <workbookView xWindow="-120" yWindow="-120" windowWidth="29040" windowHeight="18240" tabRatio="740" xr2:uid="{00000000-000D-0000-FFFF-FFFF00000000}"/>
  </bookViews>
  <sheets>
    <sheet name="SO_03_1_Rekapitulace" sheetId="1" r:id="rId1"/>
    <sheet name="SO_03_KL_1a" sheetId="16" r:id="rId2"/>
    <sheet name="SO_03_KL_1b" sheetId="17" r:id="rId3"/>
    <sheet name="SO_03_KL_1" sheetId="2" r:id="rId4"/>
    <sheet name="SO_03_KL_2" sheetId="8" r:id="rId5"/>
    <sheet name="SO_03_KL_3" sheetId="9" r:id="rId6"/>
    <sheet name="SO_03_KL_3a" sheetId="13" r:id="rId7"/>
    <sheet name="03_4.1" sheetId="18" r:id="rId8"/>
    <sheet name="03_4.2" sheetId="19" r:id="rId9"/>
    <sheet name="03_4.3" sheetId="20" r:id="rId10"/>
    <sheet name="03_4.4" sheetId="21" r:id="rId11"/>
    <sheet name="03_4.5-7" sheetId="22" r:id="rId12"/>
  </sheets>
  <definedNames>
    <definedName name="_xlnm.Print_Titles" localSheetId="0">SO_03_1_Rekapitulace!$12:$12</definedName>
    <definedName name="_xlnm.Print_Area" localSheetId="11">'03_4.5-7'!$A$1:$C$179</definedName>
    <definedName name="_xlnm.Print_Area" localSheetId="0">SO_03_1_Rekapitulace!$B$2:$E$313</definedName>
    <definedName name="_xlnm.Print_Area" localSheetId="3">SO_03_KL_1!$A$1:$M$49</definedName>
    <definedName name="_xlnm.Print_Area" localSheetId="4">SO_03_KL_2!$A$1:$M$45</definedName>
    <definedName name="_xlnm.Print_Area" localSheetId="5">SO_03_KL_3!$B$2:$M$48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7" i="22" l="1"/>
  <c r="C176" i="22"/>
  <c r="C175" i="22"/>
  <c r="C171" i="22"/>
  <c r="C170" i="22"/>
  <c r="C169" i="22"/>
  <c r="C165" i="22"/>
  <c r="C164" i="22"/>
  <c r="C163" i="22"/>
  <c r="C162" i="22"/>
  <c r="C161" i="22"/>
  <c r="C156" i="22"/>
  <c r="C154" i="22"/>
  <c r="C152" i="22"/>
  <c r="C150" i="22"/>
  <c r="C147" i="22"/>
  <c r="C146" i="22"/>
  <c r="C143" i="22"/>
  <c r="C142" i="22"/>
  <c r="C141" i="22"/>
  <c r="C140" i="22"/>
  <c r="C136" i="22"/>
  <c r="C133" i="22"/>
  <c r="C132" i="22"/>
  <c r="C131" i="22"/>
  <c r="C130" i="22"/>
  <c r="C129" i="22"/>
  <c r="C126" i="22"/>
  <c r="C124" i="22"/>
  <c r="C122" i="22"/>
  <c r="C120" i="22"/>
  <c r="C117" i="22"/>
  <c r="C116" i="22"/>
  <c r="C113" i="22"/>
  <c r="C112" i="22"/>
  <c r="C111" i="22"/>
  <c r="C110" i="22"/>
  <c r="C106" i="22"/>
  <c r="C103" i="22"/>
  <c r="C102" i="22"/>
  <c r="C101" i="22"/>
  <c r="C100" i="22"/>
  <c r="C99" i="22"/>
  <c r="C96" i="22"/>
  <c r="C94" i="22"/>
  <c r="C92" i="22"/>
  <c r="C90" i="22"/>
  <c r="C87" i="22"/>
  <c r="C86" i="22"/>
  <c r="C83" i="22"/>
  <c r="C82" i="22"/>
  <c r="C81" i="22"/>
  <c r="C80" i="22"/>
  <c r="C76" i="22"/>
  <c r="C73" i="22"/>
  <c r="C72" i="22"/>
  <c r="C71" i="22"/>
  <c r="C70" i="22"/>
  <c r="C69" i="22"/>
  <c r="C66" i="22"/>
  <c r="C64" i="22"/>
  <c r="C62" i="22"/>
  <c r="C60" i="22"/>
  <c r="C57" i="22"/>
  <c r="C56" i="22"/>
  <c r="C53" i="22"/>
  <c r="C52" i="22"/>
  <c r="C51" i="22"/>
  <c r="C50" i="22"/>
  <c r="C46" i="22"/>
  <c r="C43" i="22"/>
  <c r="C42" i="22"/>
  <c r="C41" i="22"/>
  <c r="C40" i="22"/>
  <c r="C39" i="22"/>
  <c r="C36" i="22"/>
  <c r="C34" i="22"/>
  <c r="C32" i="22"/>
  <c r="C30" i="22"/>
  <c r="C27" i="22"/>
  <c r="C26" i="22"/>
  <c r="C23" i="22"/>
  <c r="C22" i="22"/>
  <c r="C21" i="22"/>
  <c r="C20" i="22"/>
  <c r="C16" i="22"/>
  <c r="C13" i="22"/>
  <c r="C12" i="22"/>
  <c r="C11" i="22"/>
  <c r="C10" i="22"/>
  <c r="C9" i="22"/>
  <c r="C160" i="21"/>
  <c r="C158" i="21"/>
  <c r="C156" i="21"/>
  <c r="C154" i="21"/>
  <c r="C151" i="21"/>
  <c r="C150" i="21"/>
  <c r="C147" i="21"/>
  <c r="C146" i="21"/>
  <c r="C145" i="21"/>
  <c r="C144" i="21"/>
  <c r="C140" i="21"/>
  <c r="C137" i="21"/>
  <c r="C136" i="21"/>
  <c r="C135" i="21"/>
  <c r="C134" i="21"/>
  <c r="C133" i="21"/>
  <c r="C130" i="21"/>
  <c r="C128" i="21"/>
  <c r="C126" i="21"/>
  <c r="C124" i="21"/>
  <c r="C121" i="21"/>
  <c r="C120" i="21"/>
  <c r="C117" i="21"/>
  <c r="C116" i="21"/>
  <c r="C115" i="21"/>
  <c r="C114" i="21"/>
  <c r="C110" i="21"/>
  <c r="C107" i="21"/>
  <c r="C106" i="21"/>
  <c r="C105" i="21"/>
  <c r="C104" i="21"/>
  <c r="C103" i="21"/>
  <c r="C100" i="21"/>
  <c r="C98" i="21"/>
  <c r="C96" i="21"/>
  <c r="C94" i="21"/>
  <c r="C91" i="21"/>
  <c r="C90" i="21"/>
  <c r="C87" i="21"/>
  <c r="C86" i="21"/>
  <c r="C85" i="21"/>
  <c r="C84" i="21"/>
  <c r="C80" i="21"/>
  <c r="C77" i="21"/>
  <c r="C76" i="21"/>
  <c r="C75" i="21"/>
  <c r="C74" i="21"/>
  <c r="C73" i="21"/>
  <c r="C70" i="21"/>
  <c r="C68" i="21"/>
  <c r="C66" i="21"/>
  <c r="C64" i="21"/>
  <c r="C61" i="21"/>
  <c r="C60" i="21"/>
  <c r="C57" i="21"/>
  <c r="C56" i="21"/>
  <c r="C55" i="21"/>
  <c r="C54" i="21"/>
  <c r="C50" i="21"/>
  <c r="C47" i="21"/>
  <c r="C46" i="21"/>
  <c r="C45" i="21"/>
  <c r="C44" i="21"/>
  <c r="C43" i="21"/>
  <c r="C38" i="21"/>
  <c r="C36" i="21"/>
  <c r="C34" i="21"/>
  <c r="C32" i="21"/>
  <c r="C29" i="21"/>
  <c r="C28" i="21"/>
  <c r="C25" i="21"/>
  <c r="C24" i="21"/>
  <c r="C23" i="21"/>
  <c r="C22" i="21"/>
  <c r="C18" i="21"/>
  <c r="C15" i="21"/>
  <c r="C14" i="21"/>
  <c r="C13" i="21"/>
  <c r="C12" i="21"/>
  <c r="C11" i="21"/>
  <c r="C68" i="20"/>
  <c r="C66" i="20"/>
  <c r="C64" i="20"/>
  <c r="C62" i="20"/>
  <c r="C59" i="20"/>
  <c r="C60" i="20" s="1"/>
  <c r="C58" i="20"/>
  <c r="C55" i="20"/>
  <c r="C54" i="20"/>
  <c r="C53" i="20"/>
  <c r="C52" i="20"/>
  <c r="C48" i="20"/>
  <c r="C45" i="20"/>
  <c r="C46" i="20" s="1"/>
  <c r="C44" i="20"/>
  <c r="C43" i="20"/>
  <c r="C42" i="20"/>
  <c r="C41" i="20"/>
  <c r="C36" i="20"/>
  <c r="C34" i="20"/>
  <c r="C32" i="20"/>
  <c r="C30" i="20"/>
  <c r="C27" i="20"/>
  <c r="C26" i="20"/>
  <c r="C28" i="20" s="1"/>
  <c r="C23" i="20"/>
  <c r="C22" i="20"/>
  <c r="C21" i="20"/>
  <c r="C20" i="20"/>
  <c r="C16" i="20"/>
  <c r="C13" i="20"/>
  <c r="C12" i="20"/>
  <c r="C11" i="20"/>
  <c r="C10" i="20"/>
  <c r="C9" i="20"/>
  <c r="C166" i="19"/>
  <c r="C164" i="19"/>
  <c r="C162" i="19"/>
  <c r="C160" i="19"/>
  <c r="C157" i="19"/>
  <c r="C156" i="19"/>
  <c r="C158" i="19" s="1"/>
  <c r="C154" i="19"/>
  <c r="C153" i="19"/>
  <c r="C151" i="19"/>
  <c r="C150" i="19"/>
  <c r="C146" i="19"/>
  <c r="C143" i="19"/>
  <c r="C142" i="19"/>
  <c r="C141" i="19"/>
  <c r="C140" i="19"/>
  <c r="C144" i="19" s="1"/>
  <c r="C139" i="19"/>
  <c r="C134" i="19"/>
  <c r="C132" i="19"/>
  <c r="C130" i="19"/>
  <c r="C128" i="19"/>
  <c r="C125" i="19"/>
  <c r="C126" i="19" s="1"/>
  <c r="C124" i="19"/>
  <c r="C121" i="19"/>
  <c r="C120" i="19"/>
  <c r="C119" i="19"/>
  <c r="C118" i="19"/>
  <c r="C122" i="19" s="1"/>
  <c r="C114" i="19"/>
  <c r="C112" i="19"/>
  <c r="C111" i="19"/>
  <c r="C110" i="19"/>
  <c r="C109" i="19"/>
  <c r="C108" i="19"/>
  <c r="C107" i="19"/>
  <c r="C102" i="19"/>
  <c r="C100" i="19"/>
  <c r="C98" i="19"/>
  <c r="C96" i="19"/>
  <c r="C93" i="19"/>
  <c r="C92" i="19"/>
  <c r="C94" i="19" s="1"/>
  <c r="C89" i="19"/>
  <c r="C88" i="19"/>
  <c r="C87" i="19"/>
  <c r="C86" i="19"/>
  <c r="C90" i="19" s="1"/>
  <c r="C82" i="19"/>
  <c r="C79" i="19"/>
  <c r="C78" i="19"/>
  <c r="C77" i="19"/>
  <c r="C76" i="19"/>
  <c r="C75" i="19"/>
  <c r="C80" i="19" s="1"/>
  <c r="C70" i="19"/>
  <c r="C68" i="19"/>
  <c r="C66" i="19"/>
  <c r="C64" i="19"/>
  <c r="C61" i="19"/>
  <c r="C60" i="19"/>
  <c r="C62" i="19" s="1"/>
  <c r="C58" i="19"/>
  <c r="C57" i="19"/>
  <c r="C56" i="19"/>
  <c r="C55" i="19"/>
  <c r="C54" i="19"/>
  <c r="C50" i="19"/>
  <c r="C47" i="19"/>
  <c r="C46" i="19"/>
  <c r="C45" i="19"/>
  <c r="C44" i="19"/>
  <c r="C43" i="19"/>
  <c r="C48" i="19" s="1"/>
  <c r="C38" i="19"/>
  <c r="C36" i="19"/>
  <c r="C34" i="19"/>
  <c r="C32" i="19"/>
  <c r="C30" i="19"/>
  <c r="C29" i="19"/>
  <c r="C28" i="19"/>
  <c r="C25" i="19"/>
  <c r="C24" i="19"/>
  <c r="C23" i="19"/>
  <c r="C22" i="19"/>
  <c r="C26" i="19" s="1"/>
  <c r="C18" i="19"/>
  <c r="C15" i="19"/>
  <c r="C14" i="19"/>
  <c r="C13" i="19"/>
  <c r="C16" i="19" s="1"/>
  <c r="C12" i="19"/>
  <c r="C11" i="19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32" i="18" s="1"/>
  <c r="G10" i="18"/>
  <c r="G9" i="18"/>
  <c r="C172" i="22" l="1"/>
  <c r="C24" i="22"/>
  <c r="C44" i="22"/>
  <c r="C104" i="22"/>
  <c r="C28" i="22"/>
  <c r="C58" i="22"/>
  <c r="C118" i="22"/>
  <c r="C148" i="22"/>
  <c r="C144" i="22"/>
  <c r="C54" i="22"/>
  <c r="C84" i="22"/>
  <c r="C74" i="22"/>
  <c r="C114" i="22"/>
  <c r="C134" i="22"/>
  <c r="C14" i="22"/>
  <c r="C88" i="22"/>
  <c r="C166" i="22"/>
  <c r="C178" i="22"/>
  <c r="C30" i="21"/>
  <c r="C62" i="21"/>
  <c r="C92" i="21"/>
  <c r="C152" i="21"/>
  <c r="C108" i="21"/>
  <c r="C26" i="21"/>
  <c r="C78" i="21"/>
  <c r="C138" i="21"/>
  <c r="C122" i="21"/>
  <c r="C58" i="21"/>
  <c r="C16" i="21"/>
  <c r="C148" i="21"/>
  <c r="C48" i="21"/>
  <c r="C88" i="21"/>
  <c r="C118" i="21"/>
  <c r="C24" i="20"/>
  <c r="C56" i="20"/>
  <c r="C14" i="20"/>
  <c r="E104" i="1"/>
  <c r="F21" i="13"/>
  <c r="F16" i="13"/>
  <c r="E83" i="1" l="1"/>
  <c r="E85" i="1"/>
  <c r="E101" i="1"/>
  <c r="E80" i="1"/>
  <c r="E178" i="1"/>
  <c r="E238" i="1" l="1"/>
  <c r="E176" i="1" l="1"/>
  <c r="E32" i="1"/>
  <c r="E191" i="1" l="1"/>
  <c r="E253" i="1" l="1"/>
  <c r="E135" i="1" l="1"/>
  <c r="E139" i="1" s="1"/>
  <c r="E130" i="1"/>
  <c r="E153" i="16"/>
  <c r="E152" i="16"/>
  <c r="E151" i="16"/>
  <c r="E150" i="16"/>
  <c r="E149" i="16"/>
  <c r="E148" i="16"/>
  <c r="E146" i="16" s="1"/>
  <c r="E133" i="16"/>
  <c r="E132" i="16"/>
  <c r="E131" i="16"/>
  <c r="E130" i="16"/>
  <c r="E129" i="16"/>
  <c r="E123" i="16"/>
  <c r="E124" i="16" s="1"/>
  <c r="E118" i="16" s="1"/>
  <c r="E122" i="16"/>
  <c r="E121" i="16"/>
  <c r="E120" i="16"/>
  <c r="E102" i="16"/>
  <c r="E99" i="16"/>
  <c r="E96" i="16"/>
  <c r="E95" i="16" s="1"/>
  <c r="E162" i="16" s="1"/>
  <c r="E93" i="16"/>
  <c r="E92" i="16"/>
  <c r="E91" i="16" s="1"/>
  <c r="E76" i="16"/>
  <c r="E75" i="16"/>
  <c r="E65" i="16"/>
  <c r="E62" i="16"/>
  <c r="E61" i="16" s="1"/>
  <c r="E74" i="16" s="1"/>
  <c r="E57" i="16"/>
  <c r="E56" i="16" s="1"/>
  <c r="E73" i="16" s="1"/>
  <c r="E51" i="16"/>
  <c r="E50" i="16" s="1"/>
  <c r="E72" i="16" s="1"/>
  <c r="E47" i="16"/>
  <c r="E46" i="16" s="1"/>
  <c r="E43" i="16"/>
  <c r="E42" i="16"/>
  <c r="E27" i="16"/>
  <c r="E25" i="16"/>
  <c r="E18" i="16"/>
  <c r="E16" i="16"/>
  <c r="F56" i="17"/>
  <c r="G56" i="17" s="1"/>
  <c r="D56" i="17"/>
  <c r="F54" i="17"/>
  <c r="D54" i="17"/>
  <c r="F52" i="17"/>
  <c r="D52" i="17"/>
  <c r="F50" i="17"/>
  <c r="D50" i="17"/>
  <c r="F48" i="17"/>
  <c r="D48" i="17"/>
  <c r="G48" i="17" s="1"/>
  <c r="F46" i="17"/>
  <c r="G46" i="17" s="1"/>
  <c r="D46" i="17"/>
  <c r="F44" i="17"/>
  <c r="D44" i="17"/>
  <c r="G44" i="17" s="1"/>
  <c r="F42" i="17"/>
  <c r="D42" i="17"/>
  <c r="G42" i="17" s="1"/>
  <c r="G40" i="17"/>
  <c r="F40" i="17"/>
  <c r="D40" i="17"/>
  <c r="F38" i="17"/>
  <c r="D38" i="17"/>
  <c r="G38" i="17" s="1"/>
  <c r="F36" i="17"/>
  <c r="D36" i="17"/>
  <c r="G36" i="17" s="1"/>
  <c r="F34" i="17"/>
  <c r="D34" i="17"/>
  <c r="G34" i="17" s="1"/>
  <c r="F32" i="17"/>
  <c r="D32" i="17"/>
  <c r="F30" i="17"/>
  <c r="D30" i="17"/>
  <c r="F28" i="17"/>
  <c r="D28" i="17"/>
  <c r="F26" i="17"/>
  <c r="D26" i="17"/>
  <c r="G26" i="17" s="1"/>
  <c r="F24" i="17"/>
  <c r="D24" i="17"/>
  <c r="G24" i="17" s="1"/>
  <c r="F22" i="17"/>
  <c r="D22" i="17"/>
  <c r="G22" i="17" s="1"/>
  <c r="F20" i="17"/>
  <c r="D20" i="17"/>
  <c r="G20" i="17" s="1"/>
  <c r="G52" i="17" l="1"/>
  <c r="G54" i="17"/>
  <c r="G28" i="17"/>
  <c r="G50" i="17"/>
  <c r="G30" i="17"/>
  <c r="G32" i="17"/>
  <c r="E134" i="16"/>
  <c r="E127" i="16" s="1"/>
  <c r="E83" i="16"/>
  <c r="E87" i="16" s="1"/>
  <c r="G58" i="17"/>
  <c r="E162" i="1"/>
  <c r="E24" i="16" l="1"/>
  <c r="E26" i="16" s="1"/>
  <c r="E28" i="16" s="1"/>
  <c r="E29" i="16" s="1"/>
  <c r="E23" i="16" s="1"/>
  <c r="E15" i="16"/>
  <c r="E17" i="16" s="1"/>
  <c r="E19" i="16" s="1"/>
  <c r="E20" i="16" s="1"/>
  <c r="E14" i="16" s="1"/>
  <c r="E256" i="1"/>
  <c r="E194" i="1"/>
  <c r="E119" i="1"/>
  <c r="E118" i="1"/>
  <c r="E117" i="1"/>
  <c r="E115" i="1"/>
  <c r="E108" i="1"/>
  <c r="E34" i="16" l="1"/>
  <c r="E31" i="16"/>
  <c r="E71" i="16"/>
  <c r="E70" i="16" s="1"/>
  <c r="E81" i="16" s="1"/>
  <c r="E37" i="16"/>
  <c r="E40" i="16"/>
  <c r="F15" i="13"/>
  <c r="F17" i="13"/>
  <c r="E174" i="1" l="1"/>
  <c r="E250" i="1" s="1"/>
  <c r="E79" i="16"/>
  <c r="E78" i="16" s="1"/>
  <c r="E126" i="1" l="1"/>
  <c r="I31" i="8" l="1"/>
  <c r="E84" i="1" l="1"/>
  <c r="H27" i="2" l="1"/>
  <c r="K27" i="2"/>
  <c r="H23" i="2"/>
  <c r="H25" i="2"/>
  <c r="K23" i="2"/>
  <c r="E215" i="1" l="1"/>
  <c r="E221" i="1"/>
  <c r="E219" i="1"/>
  <c r="E217" i="1"/>
  <c r="E192" i="1"/>
  <c r="E208" i="1"/>
  <c r="E185" i="1"/>
  <c r="E183" i="1"/>
  <c r="E198" i="1"/>
  <c r="E181" i="1"/>
  <c r="E187" i="1"/>
  <c r="E125" i="1" l="1"/>
  <c r="E127" i="1"/>
  <c r="E123" i="1"/>
  <c r="E292" i="1"/>
  <c r="E307" i="1"/>
  <c r="E301" i="1"/>
  <c r="E297" i="1"/>
  <c r="E229" i="1"/>
  <c r="E78" i="1" l="1"/>
  <c r="E74" i="1" s="1"/>
  <c r="E90" i="1" l="1"/>
  <c r="F43" i="9"/>
  <c r="G43" i="9" s="1"/>
  <c r="D43" i="9"/>
  <c r="F41" i="9"/>
  <c r="G41" i="9" s="1"/>
  <c r="D41" i="9"/>
  <c r="F39" i="9"/>
  <c r="G39" i="9" s="1"/>
  <c r="D39" i="9"/>
  <c r="F37" i="9"/>
  <c r="G37" i="9" s="1"/>
  <c r="D37" i="9"/>
  <c r="F35" i="9"/>
  <c r="D35" i="9"/>
  <c r="F33" i="9"/>
  <c r="D33" i="9"/>
  <c r="F31" i="9"/>
  <c r="D31" i="9"/>
  <c r="F26" i="9"/>
  <c r="D26" i="9"/>
  <c r="F24" i="9"/>
  <c r="G24" i="9" s="1"/>
  <c r="D24" i="9"/>
  <c r="F22" i="9"/>
  <c r="C21" i="9"/>
  <c r="D22" i="9" s="1"/>
  <c r="F16" i="9"/>
  <c r="G16" i="9" s="1"/>
  <c r="D16" i="9"/>
  <c r="E189" i="1"/>
  <c r="E180" i="1" s="1"/>
  <c r="G35" i="9" l="1"/>
  <c r="G26" i="9"/>
  <c r="M47" i="9"/>
  <c r="J47" i="9"/>
  <c r="G22" i="9"/>
  <c r="G31" i="9"/>
  <c r="G33" i="9"/>
  <c r="I39" i="8"/>
  <c r="F39" i="8"/>
  <c r="D39" i="8"/>
  <c r="I37" i="8"/>
  <c r="F37" i="8"/>
  <c r="D37" i="8"/>
  <c r="I35" i="8"/>
  <c r="F35" i="8"/>
  <c r="D35" i="8"/>
  <c r="I33" i="8"/>
  <c r="F33" i="8"/>
  <c r="D33" i="8"/>
  <c r="F31" i="8"/>
  <c r="D31" i="8"/>
  <c r="J31" i="8" s="1"/>
  <c r="I29" i="8"/>
  <c r="F29" i="8"/>
  <c r="D29" i="8"/>
  <c r="I27" i="8"/>
  <c r="F27" i="8"/>
  <c r="D27" i="8"/>
  <c r="I22" i="8"/>
  <c r="F22" i="8"/>
  <c r="D22" i="8"/>
  <c r="I20" i="8"/>
  <c r="F20" i="8"/>
  <c r="D20" i="8"/>
  <c r="I18" i="8"/>
  <c r="F18" i="8"/>
  <c r="D18" i="8"/>
  <c r="G47" i="9" l="1"/>
  <c r="G39" i="8"/>
  <c r="J33" i="8"/>
  <c r="J39" i="8"/>
  <c r="G33" i="8"/>
  <c r="G31" i="8"/>
  <c r="J37" i="8"/>
  <c r="G35" i="8"/>
  <c r="G20" i="8"/>
  <c r="G37" i="8"/>
  <c r="J20" i="8"/>
  <c r="J35" i="8"/>
  <c r="J18" i="8"/>
  <c r="J29" i="8"/>
  <c r="J27" i="8"/>
  <c r="J22" i="8"/>
  <c r="G22" i="8"/>
  <c r="G18" i="8"/>
  <c r="G27" i="8"/>
  <c r="G29" i="8"/>
  <c r="J43" i="8" l="1"/>
  <c r="E223" i="1" s="1"/>
  <c r="E214" i="1" s="1"/>
  <c r="M43" i="8"/>
  <c r="G43" i="8"/>
  <c r="H42" i="2" l="1"/>
  <c r="K42" i="2"/>
  <c r="L41" i="2" s="1"/>
  <c r="M41" i="2" s="1"/>
  <c r="K36" i="2"/>
  <c r="L37" i="2" s="1"/>
  <c r="M37" i="2" s="1"/>
  <c r="K34" i="2"/>
  <c r="K32" i="2"/>
  <c r="K30" i="2"/>
  <c r="M16" i="2"/>
  <c r="K18" i="2"/>
  <c r="L33" i="2"/>
  <c r="M33" i="2" s="1"/>
  <c r="L39" i="2"/>
  <c r="M39" i="2" s="1"/>
  <c r="L43" i="2"/>
  <c r="M43" i="2" s="1"/>
  <c r="L24" i="2"/>
  <c r="M24" i="2" s="1"/>
  <c r="L26" i="2"/>
  <c r="L22" i="2"/>
  <c r="M22" i="2" s="1"/>
  <c r="J39" i="2"/>
  <c r="I43" i="2"/>
  <c r="J43" i="2" s="1"/>
  <c r="I41" i="2"/>
  <c r="J41" i="2" s="1"/>
  <c r="I39" i="2"/>
  <c r="I37" i="2"/>
  <c r="J37" i="2" s="1"/>
  <c r="I35" i="2"/>
  <c r="J35" i="2" s="1"/>
  <c r="I33" i="2"/>
  <c r="J33" i="2" s="1"/>
  <c r="I31" i="2"/>
  <c r="I26" i="2"/>
  <c r="I24" i="2"/>
  <c r="J24" i="2" s="1"/>
  <c r="I22" i="2"/>
  <c r="J22" i="2" s="1"/>
  <c r="I16" i="2"/>
  <c r="J16" i="2" s="1"/>
  <c r="F37" i="2"/>
  <c r="G37" i="2" s="1"/>
  <c r="F33" i="2"/>
  <c r="G33" i="2" s="1"/>
  <c r="F35" i="2"/>
  <c r="G35" i="2" s="1"/>
  <c r="F39" i="2"/>
  <c r="G39" i="2" s="1"/>
  <c r="F41" i="2"/>
  <c r="G41" i="2" s="1"/>
  <c r="F43" i="2"/>
  <c r="G43" i="2" s="1"/>
  <c r="F31" i="2"/>
  <c r="F26" i="2"/>
  <c r="F24" i="2"/>
  <c r="G24" i="2" s="1"/>
  <c r="F22" i="2"/>
  <c r="F16" i="2"/>
  <c r="D43" i="2"/>
  <c r="D41" i="2"/>
  <c r="D39" i="2"/>
  <c r="D37" i="2"/>
  <c r="D35" i="2"/>
  <c r="D33" i="2"/>
  <c r="D31" i="2"/>
  <c r="D26" i="2"/>
  <c r="D24" i="2"/>
  <c r="D22" i="2"/>
  <c r="D16" i="2"/>
  <c r="C21" i="2"/>
  <c r="E35" i="1"/>
  <c r="E61" i="1"/>
  <c r="E47" i="1"/>
  <c r="E28" i="1"/>
  <c r="E56" i="1"/>
  <c r="E50" i="1"/>
  <c r="E53" i="1"/>
  <c r="E25" i="1"/>
  <c r="E14" i="1"/>
  <c r="J31" i="2" l="1"/>
  <c r="G31" i="2"/>
  <c r="M26" i="2"/>
  <c r="J26" i="2"/>
  <c r="G26" i="2"/>
  <c r="L35" i="2"/>
  <c r="M35" i="2" s="1"/>
  <c r="L31" i="2"/>
  <c r="E30" i="1"/>
  <c r="K19" i="2" l="1"/>
  <c r="L16" i="2"/>
  <c r="K33" i="2"/>
  <c r="K35" i="2"/>
  <c r="K37" i="2"/>
  <c r="K39" i="2"/>
  <c r="K41" i="2"/>
  <c r="K43" i="2"/>
  <c r="K45" i="2"/>
  <c r="G22" i="2" l="1"/>
  <c r="G16" i="2"/>
  <c r="M31" i="2"/>
  <c r="M47" i="2" l="1"/>
  <c r="G47" i="2"/>
  <c r="J47" i="2"/>
  <c r="E75" i="1" l="1"/>
  <c r="E87" i="1"/>
  <c r="E96" i="1"/>
</calcChain>
</file>

<file path=xl/sharedStrings.xml><?xml version="1.0" encoding="utf-8"?>
<sst xmlns="http://schemas.openxmlformats.org/spreadsheetml/2006/main" count="1763" uniqueCount="1007">
  <si>
    <t>Rekapitulace</t>
  </si>
  <si>
    <t>Objednavatel : Povodí Odry, s.p.</t>
  </si>
  <si>
    <t>Zhotovitel : AQUATIS a.s.</t>
  </si>
  <si>
    <t>Položka</t>
  </si>
  <si>
    <t>Popis položky</t>
  </si>
  <si>
    <t>Jednotka</t>
  </si>
  <si>
    <t>Zemní práce</t>
  </si>
  <si>
    <t>Nové konstrukce</t>
  </si>
  <si>
    <t>Bednění - rovinné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</si>
  <si>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</si>
  <si>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</si>
  <si>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m</t>
  </si>
  <si>
    <t>PF10</t>
  </si>
  <si>
    <t>km</t>
  </si>
  <si>
    <t xml:space="preserve"> -</t>
  </si>
  <si>
    <t>Výkopy</t>
  </si>
  <si>
    <t>Úprava pláně v násypu</t>
  </si>
  <si>
    <t>Ozn.</t>
  </si>
  <si>
    <t>Staničení</t>
  </si>
  <si>
    <t>výpočet viz výkaz výměr - kubaturové listy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</si>
  <si>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</si>
  <si>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Vzdálenost profilů / řezů</t>
  </si>
  <si>
    <t>Příčný profil / řez</t>
  </si>
  <si>
    <t>JEDNOTL.</t>
  </si>
  <si>
    <t>PRŮMĚR</t>
  </si>
  <si>
    <t>MNOŽSTVÍ</t>
  </si>
  <si>
    <r>
      <t>m</t>
    </r>
    <r>
      <rPr>
        <b/>
        <vertAlign val="superscript"/>
        <sz val="8"/>
        <color theme="1"/>
        <rFont val="Arial"/>
        <family val="2"/>
        <charset val="238"/>
      </rPr>
      <t>2</t>
    </r>
  </si>
  <si>
    <r>
      <t>m</t>
    </r>
    <r>
      <rPr>
        <b/>
        <vertAlign val="superscript"/>
        <sz val="8"/>
        <color theme="1"/>
        <rFont val="Arial"/>
        <family val="2"/>
        <charset val="238"/>
      </rPr>
      <t>3</t>
    </r>
  </si>
  <si>
    <t>Ohumusování v rovině</t>
  </si>
  <si>
    <t>Množství DPS</t>
  </si>
  <si>
    <t>SO 03 Rekonstrukce náhonu a odpadního koryta</t>
  </si>
  <si>
    <t xml:space="preserve">Výkaz výměr - 02.060 Opatření v úseku Brantice, OHO, </t>
  </si>
  <si>
    <t>dílčí stavba 02.061 Jez Brantice, stavba č. 5882.</t>
  </si>
  <si>
    <t>03.1</t>
  </si>
  <si>
    <t>Náhon</t>
  </si>
  <si>
    <t>2.1</t>
  </si>
  <si>
    <t>2.2</t>
  </si>
  <si>
    <t>Bourací práce</t>
  </si>
  <si>
    <t>1.1</t>
  </si>
  <si>
    <t>lávka stavidla</t>
  </si>
  <si>
    <t>lávka česlí a sloup</t>
  </si>
  <si>
    <t>pilíř u štěrk. propusti</t>
  </si>
  <si>
    <t>Železobetonové konstrukce vtoku</t>
  </si>
  <si>
    <t>pravobřežní zeď</t>
  </si>
  <si>
    <t>levobřežní zeď a plocha</t>
  </si>
  <si>
    <t>1.2</t>
  </si>
  <si>
    <t>1.3</t>
  </si>
  <si>
    <t>1.4</t>
  </si>
  <si>
    <t>1.6</t>
  </si>
  <si>
    <t>Betonové panely</t>
  </si>
  <si>
    <t>1.7</t>
  </si>
  <si>
    <t>Betonové konstrukce před MVE, dno, stěny</t>
  </si>
  <si>
    <t>1.8</t>
  </si>
  <si>
    <t>Kamenné zdi</t>
  </si>
  <si>
    <t>před mostem</t>
  </si>
  <si>
    <t>mezi mostem a MVE</t>
  </si>
  <si>
    <t>1.9</t>
  </si>
  <si>
    <t>1.10</t>
  </si>
  <si>
    <t>1.11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</si>
  <si>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</si>
  <si>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2,1*0,2*(48+91)</t>
  </si>
  <si>
    <t>12*3,45m2+ 18m2*0,5</t>
  </si>
  <si>
    <t>7,8m2 * 0,35 + 0,4*1,1*2,25</t>
  </si>
  <si>
    <t>5,2*1,15*0,35</t>
  </si>
  <si>
    <t>6,7m2*2,25</t>
  </si>
  <si>
    <t>0,55*9,0*1,8</t>
  </si>
  <si>
    <t>Betonové dno vtoku + 4 prahy</t>
  </si>
  <si>
    <t xml:space="preserve">75m2 *0,6 +1*1*12+2*0,5*6,8+2*0,5*6,8+0,8*0,8*6,8 </t>
  </si>
  <si>
    <t>kg</t>
  </si>
  <si>
    <t>1.5</t>
  </si>
  <si>
    <t>1.12</t>
  </si>
  <si>
    <t>5,2*2,09kg/m+5,2*1,38kg/m+3*1,1*2,09kg/m</t>
  </si>
  <si>
    <t>Zábradlí na lávce stavidla z úhelníků a pásoviny</t>
  </si>
  <si>
    <t>Ocelové stavidlo, šířka 5,2m, 2xU160, s příslušenstvím</t>
  </si>
  <si>
    <t>Odstranění pomocných ocel. konstrukcí před MVE</t>
  </si>
  <si>
    <t>4,64kg/m*7m + 6*1,8*2,6kg/m+100</t>
  </si>
  <si>
    <t>bm</t>
  </si>
  <si>
    <t>1.13</t>
  </si>
  <si>
    <t>2*1,5m*18,3kg/m</t>
  </si>
  <si>
    <t xml:space="preserve">Betonové schody </t>
  </si>
  <si>
    <t>6*0,2*0,3*1,0</t>
  </si>
  <si>
    <t>18,8kg/m*(2*5,2+4*2,8)+600kg</t>
  </si>
  <si>
    <t>1.14</t>
  </si>
  <si>
    <t>Demontáž hliníkového žebříku s uložením na pravém břehu před MVE</t>
  </si>
  <si>
    <t>kplt</t>
  </si>
  <si>
    <t>1.15</t>
  </si>
  <si>
    <t>Bourání pilířku cihly a kámen u mostu</t>
  </si>
  <si>
    <t>1*1*1,2</t>
  </si>
  <si>
    <t>m3</t>
  </si>
  <si>
    <t>31,0*1,0*1,65+28*0,8*1,5</t>
  </si>
  <si>
    <t>90,3*2,7*1+92*1,9*0,8</t>
  </si>
  <si>
    <t>2.3</t>
  </si>
  <si>
    <t>m2</t>
  </si>
  <si>
    <t>ks</t>
  </si>
  <si>
    <t>PF19</t>
  </si>
  <si>
    <t>K.L.</t>
  </si>
  <si>
    <t>Před mostem</t>
  </si>
  <si>
    <t>PF18</t>
  </si>
  <si>
    <t>PF17</t>
  </si>
  <si>
    <t>most lic</t>
  </si>
  <si>
    <t>PF15</t>
  </si>
  <si>
    <t>PF14</t>
  </si>
  <si>
    <t>PF13</t>
  </si>
  <si>
    <t>PF12</t>
  </si>
  <si>
    <t>PF11</t>
  </si>
  <si>
    <t>líc MVE</t>
  </si>
  <si>
    <t>Úsek od mostu po MVE</t>
  </si>
  <si>
    <t>Zásypy</t>
  </si>
  <si>
    <t xml:space="preserve">Hutněný zásyp z materiálu výkopu </t>
  </si>
  <si>
    <t>2.4</t>
  </si>
  <si>
    <t>2.5</t>
  </si>
  <si>
    <t>2.6</t>
  </si>
  <si>
    <t>1) Vtok po řez 19</t>
  </si>
  <si>
    <t>plocha půdorys m2 x tl. podkl. betonu</t>
  </si>
  <si>
    <t>délka v ose x šířka podkl. betonu x tl.</t>
  </si>
  <si>
    <t>3) Rozšíření před MVE</t>
  </si>
  <si>
    <t>2) Náhon od km 0,335 81 po km 0,205 17</t>
  </si>
  <si>
    <t>130,64*6,3*0,15</t>
  </si>
  <si>
    <t>72m2*0,15</t>
  </si>
  <si>
    <t>2*3m2*0,15+46m2*0,15/cos10,8</t>
  </si>
  <si>
    <t>3.1</t>
  </si>
  <si>
    <t>Podkladní beton C25/30 XC2, tl. 0,15 m</t>
  </si>
  <si>
    <t>Železobetonová konstrukce</t>
  </si>
  <si>
    <t>3.2</t>
  </si>
  <si>
    <t>3.1 NÁHON</t>
  </si>
  <si>
    <t>Od konce lávky (delimItace s SO05) po dilataci, na pravé straně pilíř ŠP</t>
  </si>
  <si>
    <t>Bednění</t>
  </si>
  <si>
    <t>Lešení</t>
  </si>
  <si>
    <t>Levá stěna po ř.19</t>
  </si>
  <si>
    <t>práh</t>
  </si>
  <si>
    <t>pilíře v ose</t>
  </si>
  <si>
    <t>lávky</t>
  </si>
  <si>
    <t>pilíř pravý po ř. 19</t>
  </si>
  <si>
    <t>stěny od ř.19 po MVE</t>
  </si>
  <si>
    <t>viz soupis</t>
  </si>
  <si>
    <t>Bednění - svislé kruhové</t>
  </si>
  <si>
    <t>1) Pilíř česlí</t>
  </si>
  <si>
    <t>2) Pilíř stavidla</t>
  </si>
  <si>
    <t>bednění čel v dilatacích</t>
  </si>
  <si>
    <t>2,7*(2*pi*0,3)</t>
  </si>
  <si>
    <t>Skrývky</t>
  </si>
  <si>
    <t>xxx</t>
  </si>
  <si>
    <t>osa most</t>
  </si>
  <si>
    <t>2.7</t>
  </si>
  <si>
    <t>Skrývky humózních vrstev dle konkrétní situace předpoklad tl. 0,15m</t>
  </si>
  <si>
    <t>viz kubaturové listy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</si>
  <si>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</si>
  <si>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výkop pro šachty dešť. kanalizace od zámku</t>
  </si>
  <si>
    <t>15*3,4 + 7,6*3,4</t>
  </si>
  <si>
    <t>Potrubí a výrobky</t>
  </si>
  <si>
    <t>4.1</t>
  </si>
  <si>
    <t>4.2</t>
  </si>
  <si>
    <t>Zakládání</t>
  </si>
  <si>
    <t>5.1</t>
  </si>
  <si>
    <t>5.2</t>
  </si>
  <si>
    <t>5.3</t>
  </si>
  <si>
    <t>5.5</t>
  </si>
  <si>
    <t>Ostatní</t>
  </si>
  <si>
    <t>6.1</t>
  </si>
  <si>
    <t xml:space="preserve">kplt </t>
  </si>
  <si>
    <t>Ocelový plašič ryb, délka 7,0m, 6 elektrod a příslušenství (odstranění)</t>
  </si>
  <si>
    <t>l=25m, v= 1,8m</t>
  </si>
  <si>
    <t>Oprava plotu p. Flašara - v případě poškození plotu se zděnými pilířky a ocelovou výplní bude provedena jeho oprava po dokončení prací</t>
  </si>
  <si>
    <t>Kabelová trasa</t>
  </si>
  <si>
    <t>výstražná fólie š.300 mm</t>
  </si>
  <si>
    <t xml:space="preserve">zemnící pásek FeZn 30x4 mm </t>
  </si>
  <si>
    <t>Pískový obsyp chrániček 0,6 x 0,24m</t>
  </si>
  <si>
    <t>Sdělovací kabel</t>
  </si>
  <si>
    <t>Kabel NN</t>
  </si>
  <si>
    <t>Zásyp rýhy dl.145m zeminou z výkopu hutněný 0,6x 0,6m</t>
  </si>
  <si>
    <t>Kabelová komora 0,45x0,6m plastová s vodotěsným uzamykatelným poklopem včetně pískového obsypu tl.0,2m</t>
  </si>
  <si>
    <t>0,6m x 0,8m + 6x 0,4 x 0,8 x0,8m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</si>
  <si>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</si>
  <si>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</si>
  <si>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</si>
  <si>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</si>
  <si>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</si>
  <si>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</si>
  <si>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</si>
  <si>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</si>
  <si>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</si>
  <si>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Vodočetná lať délky 2,7m</t>
  </si>
  <si>
    <t>Demontáž, uložení na deponii a opětovná montáž přístřešku pro auta p. Flašara z důvodu budování záporové stěny, půdorysný rozměr 4,8 x 13,0 m</t>
  </si>
  <si>
    <t>3.3</t>
  </si>
  <si>
    <t>Zápory HEB200 (61,3kg/m) po 1,2m , 37ks, délky 6,8m</t>
  </si>
  <si>
    <t>hloubka vrtání 6,8m, 37 vrtů D300mm</t>
  </si>
  <si>
    <t>Záporové pažení podél pozemku p. Flašara v délce 43m</t>
  </si>
  <si>
    <t>2.8</t>
  </si>
  <si>
    <t>Přehutnění základové spáry před uložením podkladního betonu</t>
  </si>
  <si>
    <t>dle plochy podklad. betonu</t>
  </si>
  <si>
    <t>Ohumusování v rovině a ve svahu do 1:5, tl. 0,15 m a osetí trávním semenem</t>
  </si>
  <si>
    <t>-</t>
  </si>
  <si>
    <t>Výkop tř.3  nad 1 m a odvoz na MD na vzdálenost do 1km, viz KL.1</t>
  </si>
  <si>
    <t>2.9</t>
  </si>
  <si>
    <t>výpočet viz výkaz výměr - kubaturové listy osetí</t>
  </si>
  <si>
    <t>14,5m x 2,7</t>
  </si>
  <si>
    <t>10,30 x(0,8+0,8+0,8)+5,0x (1,0+0,8+0,8)</t>
  </si>
  <si>
    <t>10,3x0,65</t>
  </si>
  <si>
    <t>3) pilíř u štěrk. propusti</t>
  </si>
  <si>
    <t>2,7*(pi*0,5)</t>
  </si>
  <si>
    <t>2,7*(5,5+4,9+4,4+1,1+3,0)</t>
  </si>
  <si>
    <t>2*(0,4+1,85)*2,7</t>
  </si>
  <si>
    <t>Bednění - přímkové plochy -přechod z 10:1 na svislou</t>
  </si>
  <si>
    <t>23spár x 6,15m2</t>
  </si>
  <si>
    <t>14,5*2,7</t>
  </si>
  <si>
    <t>2*(1,0+2,2)*2,7</t>
  </si>
  <si>
    <t>2*2,7*(5+10)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</si>
  <si>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</si>
  <si>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</si>
  <si>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</si>
  <si>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</si>
  <si>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</si>
  <si>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</si>
  <si>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</si>
  <si>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</si>
  <si>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</si>
  <si>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</si>
  <si>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</si>
  <si>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</si>
  <si>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</si>
  <si>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</si>
  <si>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</si>
  <si>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</si>
  <si>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3</t>
  </si>
  <si>
    <t>4</t>
  </si>
  <si>
    <t>5</t>
  </si>
  <si>
    <t>6</t>
  </si>
  <si>
    <t>7</t>
  </si>
  <si>
    <t>Položka č. 4.3</t>
  </si>
  <si>
    <t>Položka č. 4.7</t>
  </si>
  <si>
    <t>Položka č.x</t>
  </si>
  <si>
    <t>Položka č. x</t>
  </si>
  <si>
    <t>Položka č. 2.7</t>
  </si>
  <si>
    <t>Položka č. 2.4</t>
  </si>
  <si>
    <t>Položka č. 2.5</t>
  </si>
  <si>
    <t>Položka č. 2.6</t>
  </si>
  <si>
    <t>2.10</t>
  </si>
  <si>
    <t>2.11</t>
  </si>
  <si>
    <t>2.12</t>
  </si>
  <si>
    <t xml:space="preserve">Výztuž </t>
  </si>
  <si>
    <t>4.19</t>
  </si>
  <si>
    <t>5.4</t>
  </si>
  <si>
    <t>5.6</t>
  </si>
  <si>
    <t>5.7</t>
  </si>
  <si>
    <t>1.16</t>
  </si>
  <si>
    <t>Upálení, demontáž a odvoz na skládku úchytů panelů (kotvený U-profil)</t>
  </si>
  <si>
    <t>Plot drátěný na pravém břehu mezi mostem a MVE odstranění (před chatkou)</t>
  </si>
  <si>
    <t>Dřevěný plot na levém břehu před MVE s ocel. sloupky (11ks) včetně základů sloupků</t>
  </si>
  <si>
    <t>Odstranění ocel nosníků u schodiště (p. Flašar)</t>
  </si>
  <si>
    <t>3.4</t>
  </si>
  <si>
    <t>3.5</t>
  </si>
  <si>
    <t>3.6</t>
  </si>
  <si>
    <t>Čerpání vody v době výstavby na výšku 5m po dobu 6 měsíců, 8 hod/den, 2 čerpadla, včetně vytvoření kanálků a čerpacích jímek ve dně</t>
  </si>
  <si>
    <t>3.7</t>
  </si>
  <si>
    <t>injektáž zápor 37x0,07m2 x 6,8m +10%</t>
  </si>
  <si>
    <t>Zaústění odpadu z domovní ČOV DN250 p. Flašara do náhonu, chránička s límcem do betonové konstrukce včetně dodatečného zatěsnění a navazujícího potrubí</t>
  </si>
  <si>
    <t>Zaústění dešťové kanalizace DN150 p. Flašara do náhonu, chránička s límcem do betonové konstrukce včetně dodatečného zatěsnění a navazujícího potrubí</t>
  </si>
  <si>
    <t>4.20</t>
  </si>
  <si>
    <t>4.21</t>
  </si>
  <si>
    <t>Těsnící provazec a tvrvale pružný tmel v dilatačních sparách šířky 20 mm</t>
  </si>
  <si>
    <t>Dešťová kanalizace</t>
  </si>
  <si>
    <t>3.8</t>
  </si>
  <si>
    <t>3.9</t>
  </si>
  <si>
    <t>Polystyrén do dilatačních spár tl. 20 mm</t>
  </si>
  <si>
    <t>Železobeton</t>
  </si>
  <si>
    <t xml:space="preserve">v.č. </t>
  </si>
  <si>
    <t>03_4.1</t>
  </si>
  <si>
    <t>výpočet</t>
  </si>
  <si>
    <t>celkem</t>
  </si>
  <si>
    <t>03_4.2</t>
  </si>
  <si>
    <t>03_4.3</t>
  </si>
  <si>
    <t>03_4.4</t>
  </si>
  <si>
    <t>03_4.5</t>
  </si>
  <si>
    <t>03_4.6</t>
  </si>
  <si>
    <t>03_4.7</t>
  </si>
  <si>
    <t>bloky</t>
  </si>
  <si>
    <t>2,3,4,5,6</t>
  </si>
  <si>
    <t>9,10,11,12,13,</t>
  </si>
  <si>
    <t>14,15,16,17</t>
  </si>
  <si>
    <t>18,19,20,21</t>
  </si>
  <si>
    <t>22,23,24</t>
  </si>
  <si>
    <t>36,08+36,08+36,6+36,6+36,6</t>
  </si>
  <si>
    <t>37,87+37,63+36,88+36,36+35,72</t>
  </si>
  <si>
    <t>celkem - náhon</t>
  </si>
  <si>
    <t>Datum : Červen 2022</t>
  </si>
  <si>
    <t>objem</t>
  </si>
  <si>
    <t>římsa</t>
  </si>
  <si>
    <t>výpočet byl proveden v samostatné podrobné příloze přiložené na konci výkazu výměr</t>
  </si>
  <si>
    <t xml:space="preserve">od jezu po most LB 50 m </t>
  </si>
  <si>
    <t>od mostu po MVE PB 95 m</t>
  </si>
  <si>
    <t>od mostu po MVE LB 50 m</t>
  </si>
  <si>
    <t>délka stěn ze štětovnic délky 6m je 50+95+50= 195m</t>
  </si>
  <si>
    <t>rozepření zápor šikmou vzpěrou do ocelové paty (např. štětovnice) včetně převázky, zajištění a osazení, dle výrobní dokumentace zhotovitele - odhad 4000kg</t>
  </si>
  <si>
    <t>Zápory HEB200 (61,3kg/m) po 1,2m , 10ks, délky 6,8m</t>
  </si>
  <si>
    <t>hloubka vrtání 6,8m, 10 vrtů D300mm</t>
  </si>
  <si>
    <t>injektáž zápor 10x0,07m2 x 6,8m +10%</t>
  </si>
  <si>
    <t>rozepření zápor šikmou vzpěrou do ocelové paty (např. štětovnice) včetně převázky, zajištění a osazení, dle výrobní dokumentace zhotovitele - odhad 1450kg</t>
  </si>
  <si>
    <t>4) náběhy přechodových průřezů</t>
  </si>
  <si>
    <t>odborný odhad 4m2</t>
  </si>
  <si>
    <t>výpočet proveden v samostatné příloze připojené na konci výkazu výměr s rekapitulací na listu SO_03_KL_3a</t>
  </si>
  <si>
    <t>bednění říms 0,07*2*146</t>
  </si>
  <si>
    <t>Výplňový beton u levobřežního pilíře mostu</t>
  </si>
  <si>
    <t>1,21m2 * 1,0m</t>
  </si>
  <si>
    <t xml:space="preserve">Sekundární zálivky kotvení stavidlového uzávěru, 0,4*0,18m v délce 4*2,7+4*2,3m, pokud bude dodáván stavidlový uzávěr s nutností osazení rámu do sekundárních betonů, </t>
  </si>
  <si>
    <t>Dřevěný plot na levém břehu před MVE včetně ocelových sloupků a jejich základových patek a včetně osazení, výkopů a zásypů</t>
  </si>
  <si>
    <t>Kompletní dodávka a montáž nového drátěného plotu  před chatkou u MVE v.1,8 m včetně sloupků a základových patek, výkopů  a zásypů.</t>
  </si>
  <si>
    <t>Demontáž, uložení na deponii  a opětovné sestavení 2 hospodářských přístřešků (kůlny) 3,5 x 2,5 m u obytné chaty č.p.403 na pozemku 417/3, včetně kompletní úpravy základů.</t>
  </si>
  <si>
    <t>t</t>
  </si>
  <si>
    <t>Bourání soklu sochy sv. Jana Nepomuckého</t>
  </si>
  <si>
    <t>24spár * 13,0m/1spáru+3,5m</t>
  </si>
  <si>
    <t>Celková plocha kontaktu štětovnice -beton (l. x v.)</t>
  </si>
  <si>
    <t xml:space="preserve">Polystyren na 1/2 plochy </t>
  </si>
  <si>
    <t>Meliorační odvoňnovcí tvárnice  š. 600 mm ve spádu do betonu včetně lože, osazení a spárování</t>
  </si>
  <si>
    <t>4.22</t>
  </si>
  <si>
    <t xml:space="preserve">Protierozní rohož při ohumusování a osévání větších svahů v okolí mostní opěry. </t>
  </si>
  <si>
    <t>4.23</t>
  </si>
  <si>
    <t>Demontáž drátěného plotu na pravém břehu u chatky na pozemku 417/3, délka 8m,  deponování na bezpečném místě a opětovné osazení plotu s případnou opravou patek sloupků plotu.</t>
  </si>
  <si>
    <t>V některých úsecích nebude možno zarazit štětovnice a budou muset být nahrazeny záporami do vyvrtaných otvorů, navýšení ceny v případě zápor.</t>
  </si>
  <si>
    <t>Při provádění štětovnic se předpokládá částěčný zásyp koryta a opětovné odtěžení pomocného násypu, včetně likvidace přebytečného materiálu dle platné legislativy.</t>
  </si>
  <si>
    <r>
      <t>Polystyrenové desky tl. 20 mm</t>
    </r>
    <r>
      <rPr>
        <sz val="10"/>
        <color theme="1"/>
        <rFont val="Arial"/>
        <family val="2"/>
        <charset val="238"/>
      </rPr>
      <t xml:space="preserve"> – pomocná konstrukce umožňující následné </t>
    </r>
    <r>
      <rPr>
        <b/>
        <sz val="10"/>
        <color theme="1"/>
        <rFont val="Arial"/>
        <family val="2"/>
        <charset val="238"/>
      </rPr>
      <t>vytažení štětovnic</t>
    </r>
    <r>
      <rPr>
        <sz val="10"/>
        <color theme="1"/>
        <rFont val="Arial"/>
        <family val="2"/>
        <charset val="238"/>
      </rPr>
      <t xml:space="preserve"> po dokončení stavy – LB zeď nad mostem. Včetně spojovacích a uchycovacích prvků</t>
    </r>
  </si>
  <si>
    <t>8.</t>
  </si>
  <si>
    <t>Nedílnou součástí výkazu výměr je i výpis výrobků.</t>
  </si>
  <si>
    <t xml:space="preserve">Položka č. </t>
  </si>
  <si>
    <t>Hloubení rýh - dešťová kanalizace</t>
  </si>
  <si>
    <t>Jednotl.</t>
  </si>
  <si>
    <t>Průměr</t>
  </si>
  <si>
    <t>Množství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</si>
  <si>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</si>
  <si>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vertAlign val="superscript"/>
        <sz val="9"/>
        <rFont val="Arial CE"/>
        <family val="2"/>
        <charset val="238"/>
      </rPr>
      <t>3</t>
    </r>
  </si>
  <si>
    <t>Výpočet</t>
  </si>
  <si>
    <t>9.1</t>
  </si>
  <si>
    <r>
      <t>Hloubení rýh šířky do 2,0 m v hornině 3.I třídy do 1000 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</si>
  <si>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3</t>
    </r>
  </si>
  <si>
    <t>hodnota položky 9.1.1e</t>
  </si>
  <si>
    <t>9.1.1</t>
  </si>
  <si>
    <t>Dešťová kanalizace - výkop (výpočet proveden z příčných řezů podélného profilu)</t>
  </si>
  <si>
    <t>Kubaturové listy - položka 1.1</t>
  </si>
  <si>
    <t>9.1.1a</t>
  </si>
  <si>
    <t>Dešťová kanalizace - sejmutí humózní vrstvy tl. 0.20 m</t>
  </si>
  <si>
    <t>9m*1.5m*0.20m</t>
  </si>
  <si>
    <t>9.1.1b</t>
  </si>
  <si>
    <t>Dešťová kanalizace - výkop po sejmutí humózní vrstvy</t>
  </si>
  <si>
    <r>
      <t>72.1m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-2.7m</t>
    </r>
    <r>
      <rPr>
        <vertAlign val="superscript"/>
        <sz val="9"/>
        <rFont val="Arial CE"/>
        <charset val="238"/>
      </rPr>
      <t>3</t>
    </r>
  </si>
  <si>
    <t>9.1.1c</t>
  </si>
  <si>
    <t>Odbourání koryta náhonu v rámci SO 03 (odečet od hodnoty položky 9.1.1b)</t>
  </si>
  <si>
    <r>
      <t>průřezová plocha 10,6 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*1,25m (měřeno v AutoCadu z výkresu příčného řezu č. 18, příloha č. 03_3.4.9)</t>
    </r>
  </si>
  <si>
    <t>9.1.1d</t>
  </si>
  <si>
    <t>Dešťová kanalizace - výkop celkem</t>
  </si>
  <si>
    <r>
      <t>69,4m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-13,3m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 xml:space="preserve"> (položka 9.1.1b mínus 9.1.1c)</t>
    </r>
  </si>
  <si>
    <t>9.1.1e</t>
  </si>
  <si>
    <t>Dešťová kanalizace - výkop v třídě 3.I</t>
  </si>
  <si>
    <t>80% z položky 9.1.1d</t>
  </si>
  <si>
    <t>9.2</t>
  </si>
  <si>
    <t>Hloubení rýh šířky do 2,0 m v hornině 4.II třídy do 1000 m3</t>
  </si>
  <si>
    <t>hodnota položky 9.2.1e</t>
  </si>
  <si>
    <t>9.2.1</t>
  </si>
  <si>
    <t>9.2.1a</t>
  </si>
  <si>
    <t>9.2.1b</t>
  </si>
  <si>
    <t>9.2.1c</t>
  </si>
  <si>
    <t>Odbourání koryta náhonu v rámci SO 03 (odečet od hodnoty položky 9.2.1b)</t>
  </si>
  <si>
    <t>9.2.1d</t>
  </si>
  <si>
    <r>
      <t>69,4m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-13,3m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 xml:space="preserve"> (položka 9.2.1b mínus 9.2.1c)</t>
    </r>
  </si>
  <si>
    <t>9.2.1e</t>
  </si>
  <si>
    <t>Dešťová kanalizace - výkop v třídě 4.II</t>
  </si>
  <si>
    <t>20% z položky 9.2.1d</t>
  </si>
  <si>
    <t>9.3</t>
  </si>
  <si>
    <t>Svislé přemístění výkopku v hornině 3.I třídy do 2,5 m</t>
  </si>
  <si>
    <t>80 % hodnoty položky č. 9.1 (stanoveno z přílohy č. 03_3.6.2)</t>
  </si>
  <si>
    <t>9.4</t>
  </si>
  <si>
    <t>Svislé přemístění výkopku v hornině 3.I třídy do 4,0 m</t>
  </si>
  <si>
    <t>20 % hodnoty položky č. 9.1 (stanoveno z přílohy č. 03_3.6.2)</t>
  </si>
  <si>
    <t>9.5</t>
  </si>
  <si>
    <t>Svislé přemístění výkopku v hornině 4.II třídy do 2,5 m</t>
  </si>
  <si>
    <t>30 % hodnoty položky č. 9.2 (stanoveno z přílohy č. 03_3.6.2)</t>
  </si>
  <si>
    <t>9.6</t>
  </si>
  <si>
    <t>Svislé přemístění výkopku v hornině 4.II třídy do 4,0 m</t>
  </si>
  <si>
    <t>70 % hodnoty položky č. 9.2 (stanoveno z přílohy č. 03_3.6.2)</t>
  </si>
  <si>
    <t>9.7</t>
  </si>
  <si>
    <t>Zřízení a odstranění pažení rýh hloubky do 2,5 m</t>
  </si>
  <si>
    <r>
      <t>m</t>
    </r>
    <r>
      <rPr>
        <vertAlign val="superscript"/>
        <sz val="10"/>
        <rFont val="Arial CE"/>
        <charset val="238"/>
      </rPr>
      <t>2</t>
    </r>
  </si>
  <si>
    <t>Plocha měřena v AutoCadu - příloha č. 03_3.6.1</t>
  </si>
  <si>
    <r>
      <t>20.2m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*2 stěny výkopu</t>
    </r>
  </si>
  <si>
    <t>9.8</t>
  </si>
  <si>
    <t>Zřízení a odstranění pažení rýh hloubky do 4,0 m</t>
  </si>
  <si>
    <r>
      <t>15.9m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*2 stěny výkopu</t>
    </r>
  </si>
  <si>
    <t>9.9</t>
  </si>
  <si>
    <t>Obsyp potrubí štěrkopískem 8-16 mm</t>
  </si>
  <si>
    <t>Obsyp potrubí DN 300 (délka*šířka*výška obsypu-plocha potrubí)</t>
  </si>
  <si>
    <t>16,8m*1.25m*0.62m-3,14*0,16m*0,16m</t>
  </si>
  <si>
    <t>(rozměry stanoveny z příloh č. 03_3.6.1 a 03_3.6.3)</t>
  </si>
  <si>
    <t>9.10</t>
  </si>
  <si>
    <t>Hutněné drcené kamenivo 8-16 mm (lože pod potrubí tl. 100 mm)</t>
  </si>
  <si>
    <t>délka*šířka *výška</t>
  </si>
  <si>
    <t>16,8m*1.25m*0.10m</t>
  </si>
  <si>
    <t>9.11</t>
  </si>
  <si>
    <t>Drcené kamenivo 32-63 mm (drenážní vrstva tl. 300 mm)</t>
  </si>
  <si>
    <t>16,8m*1.25m*0.30m</t>
  </si>
  <si>
    <t>9.12</t>
  </si>
  <si>
    <t>Plastové drenážní potrubí DN 100, perforované</t>
  </si>
  <si>
    <t>(délka stanovena z přílohy č. 03_3.6.1)</t>
  </si>
  <si>
    <t>9.13</t>
  </si>
  <si>
    <t>Zásyp sypaninou se zhutněním rýh</t>
  </si>
  <si>
    <t>56,2-12,9-2,1-6,3-4,5-3,9</t>
  </si>
  <si>
    <t>Výkop rýhy (součet položek č. 9.1 a 9.2)</t>
  </si>
  <si>
    <t>Obsyp potrubí (položka č. 9.9)</t>
  </si>
  <si>
    <t>Lože pod potrubí (položka č. 9.10)</t>
  </si>
  <si>
    <t>Drenážní vrstva (položka č. 9.11)</t>
  </si>
  <si>
    <t>Vytlačená kubatura - šachta Š1 (půdorysná plocha*výška) - rozměry viz příloha č. 03_3.6.2</t>
  </si>
  <si>
    <t>3,14*0,62m*0,62m*3,71m</t>
  </si>
  <si>
    <t>Vytlačená kubatura - šachta Š2 (půdorysná plocha*výška) - rozměry viz příloha č. 03_3.6.2</t>
  </si>
  <si>
    <t>3,14*0,62m*0,62m*3,21m</t>
  </si>
  <si>
    <t>9.14</t>
  </si>
  <si>
    <t>Vodorovné přemístění vytlačeného výkopku rýhy z hornin 3.I a 4.II třídy do vzdálenosti 30 km na deponii - přebytečný vytlačený výkopek</t>
  </si>
  <si>
    <t>Přebytečný vytlačený výkopek</t>
  </si>
  <si>
    <t>položka č. 9.1 + pol. 9.2 - pol. 9.13</t>
  </si>
  <si>
    <t>9.15</t>
  </si>
  <si>
    <t>Vodorovné přemístění přebytečného výkopku rýhy horniny 3.I a 4.II třídy do vzdálenosti 500 m na mezideponii</t>
  </si>
  <si>
    <t>9.16</t>
  </si>
  <si>
    <t>Sejmutí ornice tl. 0,20 m s vodorovným přemístěním do 50 m</t>
  </si>
  <si>
    <t>Hodnota položky č. 9.1.1a</t>
  </si>
  <si>
    <t>9.17</t>
  </si>
  <si>
    <t>Rozprostření ornice v rovině nebo ve svahu do sklonu 1:5 v ploše do 500 m2 tl. vrstvy do 200 mm</t>
  </si>
  <si>
    <t>Hodnota položky č. 9.16</t>
  </si>
  <si>
    <t>9.18</t>
  </si>
  <si>
    <t>Podkladní konstrukce z betonu C16/20 - podkladní desky pod šachty a objekty</t>
  </si>
  <si>
    <t>Podkladní deska pod šachtu Š1 (viz příloha č. 03_3.6.2)</t>
  </si>
  <si>
    <t>1.5*1,5*0.1</t>
  </si>
  <si>
    <t>Podkladní deska pod šachtu Š2 (viz příloha č. 03_3.6.2)</t>
  </si>
  <si>
    <t>9.19</t>
  </si>
  <si>
    <t>Obetonování vyústění potrubí do koryta v prostoru těžkého kamenného záhozu - beton C20/25</t>
  </si>
  <si>
    <t>Rozměry stanoveny v AutoCadu z příloh č. 03_3.6.1 a 01_3.3.5
(plocha průřezu obetonování*délka-objem potrubí)</t>
  </si>
  <si>
    <r>
      <t>0,65m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*2,05m-3,14*0,16m*0,16m*2,05m</t>
    </r>
  </si>
  <si>
    <t>9.20</t>
  </si>
  <si>
    <t>PP potrubí DN 300 třívrstvé (min. SN 12)</t>
  </si>
  <si>
    <t>Délka stanovena z přílohy č. 03_3.6.1 + přípočet 1m pro napojení na stávající dešťovou kanalizaci u Š1</t>
  </si>
  <si>
    <t>9.21</t>
  </si>
  <si>
    <t>Zkouška vodotěsnosti na potrubí DN 300</t>
  </si>
  <si>
    <t>Délka potrubí - viz položka č. 9.20</t>
  </si>
  <si>
    <t>9.22</t>
  </si>
  <si>
    <t>Kanalizační poklop kompozitní kruhový s rámem, DN 600, únosnost B125</t>
  </si>
  <si>
    <t>Viz příloha č. 03_3.6.4 Výpis šachet</t>
  </si>
  <si>
    <t>9.23</t>
  </si>
  <si>
    <t>Kanalizační poklop kompozitní kruhový s rámem, DN 600, únosnost D400</t>
  </si>
  <si>
    <t>9.24</t>
  </si>
  <si>
    <t>Prefabrikovaná kanalizační šachta dle DIN 4034 na potrubí DN 300, hloubka šachet 2,7 a 3,7 m</t>
  </si>
  <si>
    <t>Sestava prvků šachty - viz příloha č. 03_3.6.4 Výpis šachet</t>
  </si>
  <si>
    <t>9.25</t>
  </si>
  <si>
    <t>Obetonování šachtového kónusu šachty Š1 - beton C 25/30 (poklop šachty v úrovni terénu)</t>
  </si>
  <si>
    <t>Výpočet obetonování dle přílohy č. 03_3.6.2:</t>
  </si>
  <si>
    <t>kubatura betonu včetně přechodové skruže (kónusu) šachty</t>
  </si>
  <si>
    <r>
      <t>m</t>
    </r>
    <r>
      <rPr>
        <vertAlign val="superscript"/>
        <sz val="9"/>
        <rFont val="Arial CE"/>
        <charset val="238"/>
      </rPr>
      <t>3</t>
    </r>
  </si>
  <si>
    <t>1.5*1.5*0.97</t>
  </si>
  <si>
    <t>odpočet kubatury poklopu výšky 160 mm</t>
  </si>
  <si>
    <r>
      <t>p</t>
    </r>
    <r>
      <rPr>
        <sz val="9"/>
        <rFont val="Arial CE"/>
        <charset val="238"/>
      </rPr>
      <t>*0.75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/4*0.16</t>
    </r>
  </si>
  <si>
    <t>odpočet kubatury přechodového dílce (kónusu)</t>
  </si>
  <si>
    <r>
      <t>p</t>
    </r>
    <r>
      <rPr>
        <sz val="9"/>
        <rFont val="Arial CE"/>
        <charset val="238"/>
      </rPr>
      <t>*0.58/3*(0.375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+ 0.375*0.62 + 0.62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)</t>
    </r>
  </si>
  <si>
    <t>odpočet kubatury části šachtového dílce pod kónusem po spodní hranu obetonování (výšky 0.23 m)</t>
  </si>
  <si>
    <r>
      <t>p</t>
    </r>
    <r>
      <rPr>
        <sz val="9"/>
        <rFont val="Arial CE"/>
        <charset val="238"/>
      </rPr>
      <t>*1,24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/4*0.23</t>
    </r>
  </si>
  <si>
    <t>Kubatura obetonování celkem</t>
  </si>
  <si>
    <t>9.26</t>
  </si>
  <si>
    <t>Obetonování šachtového kónusu šachty Š2 - beton C 25/30 (poklop šachty 0,5 m nad upraveným terénem)</t>
  </si>
  <si>
    <t>odpočet kubatury dílce (vyrovnávací prstence) pod poklopem (výšky 0.18 m)</t>
  </si>
  <si>
    <r>
      <t>p</t>
    </r>
    <r>
      <rPr>
        <sz val="9"/>
        <rFont val="Arial CE"/>
        <charset val="238"/>
      </rPr>
      <t>*0.75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/4*0.18</t>
    </r>
  </si>
  <si>
    <t>odpočet kubatury části šachtového dílce pod kónusem po spodní hranu obetonování (výšky 0.05 m)</t>
  </si>
  <si>
    <r>
      <t>p</t>
    </r>
    <r>
      <rPr>
        <sz val="9"/>
        <rFont val="Arial CE"/>
        <charset val="238"/>
      </rPr>
      <t>*0.75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>/4*0.05</t>
    </r>
  </si>
  <si>
    <t>9.27</t>
  </si>
  <si>
    <t>Uložení potrubí PP DN 300 do ocelové chráničky dl. 8,0 m (manžety, distanční prstence)</t>
  </si>
  <si>
    <t>Délka stanovena měřením v AutoCadu z přílohy č. 03_3.6.1</t>
  </si>
  <si>
    <t>9.28</t>
  </si>
  <si>
    <t>Bourání stávající kanalizace PVC DN 300, odvoz na skládku do 30 km</t>
  </si>
  <si>
    <t>Délka změřena v AutoCadu z přílohy č. 03_3.2.1</t>
  </si>
  <si>
    <t>9.29</t>
  </si>
  <si>
    <t>Bourání stávajících ŽB prefabrikovaných kanalizačních šachet , odvoz na skládku do 30 km, celkem 2 ks</t>
  </si>
  <si>
    <t>Počet šachet stanoven z přílohy č. 03_3.2.1</t>
  </si>
  <si>
    <t>skruž 100/100 (4 ks)</t>
  </si>
  <si>
    <r>
      <t>4*0,422m</t>
    </r>
    <r>
      <rPr>
        <vertAlign val="superscript"/>
        <sz val="9"/>
        <rFont val="Arial CE"/>
        <charset val="238"/>
      </rPr>
      <t>3</t>
    </r>
  </si>
  <si>
    <t>kónus 100-63/58 (2 ks)</t>
  </si>
  <si>
    <r>
      <t>2*0,249m</t>
    </r>
    <r>
      <rPr>
        <vertAlign val="superscript"/>
        <sz val="9"/>
        <rFont val="Arial CE"/>
        <charset val="238"/>
      </rPr>
      <t>3</t>
    </r>
  </si>
  <si>
    <t>dno 100/80 (1 ks)</t>
  </si>
  <si>
    <r>
      <t>1*0,796m</t>
    </r>
    <r>
      <rPr>
        <vertAlign val="superscript"/>
        <sz val="9"/>
        <rFont val="Arial CE"/>
        <charset val="238"/>
      </rPr>
      <t>3</t>
    </r>
  </si>
  <si>
    <t>dno 100/60 (1 ks)</t>
  </si>
  <si>
    <r>
      <t>1*0,681m</t>
    </r>
    <r>
      <rPr>
        <vertAlign val="superscript"/>
        <sz val="9"/>
        <rFont val="Arial CE"/>
        <charset val="238"/>
      </rPr>
      <t>3</t>
    </r>
  </si>
  <si>
    <t>vyrovnávací prstenec 63/10 (2 ks)</t>
  </si>
  <si>
    <r>
      <t>2*0,027m</t>
    </r>
    <r>
      <rPr>
        <vertAlign val="superscript"/>
        <sz val="9"/>
        <rFont val="Arial CE"/>
        <charset val="238"/>
      </rPr>
      <t>3</t>
    </r>
  </si>
  <si>
    <t>vyrovnávací prstenec 63/8 (2 ks)</t>
  </si>
  <si>
    <r>
      <t>2*0,022m</t>
    </r>
    <r>
      <rPr>
        <vertAlign val="superscript"/>
        <sz val="9"/>
        <rFont val="Arial CE"/>
        <charset val="238"/>
      </rPr>
      <t>3</t>
    </r>
  </si>
  <si>
    <t>9.30</t>
  </si>
  <si>
    <t>Bourání stávajících poklopů kanalizačních šachet , odvoz na skládku do 30 km</t>
  </si>
  <si>
    <t>Počet poklopů stanoven z přílohy č. 03_3.2.1</t>
  </si>
  <si>
    <t>poklop prům. 630 mm, litinový, 1 ks (D 400)</t>
  </si>
  <si>
    <t>~ 158</t>
  </si>
  <si>
    <t>poklop 800 x 800 mm, litinový, 1 ks (B 125)</t>
  </si>
  <si>
    <t>~ 58</t>
  </si>
  <si>
    <t>9.31</t>
  </si>
  <si>
    <t>Vybourání betonového opevnění výustního objektu</t>
  </si>
  <si>
    <t>Hodnota položky č. 9.19</t>
  </si>
  <si>
    <t>9.32</t>
  </si>
  <si>
    <t>Spojka přesuvná PP DN 300 (min. SN 12)</t>
  </si>
  <si>
    <t>Hloubení rýh šířky do 2,0 m v hornině 3.I třídy do 1000 m3</t>
  </si>
  <si>
    <t>9.</t>
  </si>
  <si>
    <t>Kubaturové listy - položka 9.1.1</t>
  </si>
  <si>
    <t>Položka č.9.1.1</t>
  </si>
  <si>
    <t>3.1 NÁHON - dešťová kanalizace</t>
  </si>
  <si>
    <t>Železobeton - náhon</t>
  </si>
  <si>
    <t>Záporové pažení u MVE v délce 10m LB+PB</t>
  </si>
  <si>
    <t>Stavební voděvzdorná překližka tl. 6 mm</t>
  </si>
  <si>
    <t xml:space="preserve">Zásyp vln štětovnic štěrkopískem </t>
  </si>
  <si>
    <t>plocha překližky pol. 3.5 x šířka 0,4m x polovina vln</t>
  </si>
  <si>
    <t xml:space="preserve">Převázka 2x UPN220 štětovnic pro kotvení v úseku u komunikace v návaznosti na SO05, délka 11m, 29,4*11*2=647,0 kg </t>
  </si>
  <si>
    <t>3.10</t>
  </si>
  <si>
    <t>Odřezání štětovnic VL604  pod konstrukci komunikace a odvod. žlábku</t>
  </si>
  <si>
    <t>Kotvení štětovnic - 6ks kotev délky cca 8,0m , únosnost 300kN, délka kořene cca 4 m, komplet, dle výrobní dokumentace zhotovitele.</t>
  </si>
  <si>
    <t>4.24</t>
  </si>
  <si>
    <t xml:space="preserve">Vlepení betonářské výztuže fi.16 do vyvrtaných otvorů fi.20, hloubky 250mm, výztuž je vykázaná v celkovém množství výztuže </t>
  </si>
  <si>
    <t>130kg/m3, 20% do fi12, 70% nad fi12, 10% sítě</t>
  </si>
  <si>
    <t>11*3,8+40*2,35+95*2,4+50*2,70</t>
  </si>
  <si>
    <t>Čerpání dešťové vody od zámku ze stávající šachty nebo provizorní jímky kalovým čerpadlem s hladinovým spínačem na výšku 3m do vzdálenosti 30m po dobu 3 měsíců, délka čerpání 1 měsíc 8 hod. denně, 500l/min.</t>
  </si>
  <si>
    <t>3.11</t>
  </si>
  <si>
    <t>Vytažení (demontáž) štětovnic</t>
  </si>
  <si>
    <t>půdorysná délka 195-11= 184m (viz 3.1- kotvená část), plocha 1170-11*6=1104m2</t>
  </si>
  <si>
    <t>Výstavba nového soklu sochy sv.Jana Nepomuckého před její zpětnou instalací,  0,85 x 0,85m výšky 1,1m nad zemí + základ 1,2 včetně povrchové úpravy, výkopu, bednění, doměření sochy a úpravy dokumentace.</t>
  </si>
  <si>
    <t>Těsnící vak potrubí DN300</t>
  </si>
  <si>
    <t>kabelová korugovaná chránička HDPE 110 2ks</t>
  </si>
  <si>
    <t>neobsazeno</t>
  </si>
  <si>
    <t>23spár x 6,15m2+3,75(u SO05)+15,6*0,6(u MVE)+8x1(u mostu)</t>
  </si>
  <si>
    <t>bednění výplň. betonu u mostu 8*1</t>
  </si>
  <si>
    <t xml:space="preserve">4.25 </t>
  </si>
  <si>
    <t>Podkladní beton a obetonování kabelových komor beton C16/20, cca 0,5m3/1komoru. Celkem 3,5m3.</t>
  </si>
  <si>
    <t>rubové bednění bloku 03/24 6,5*3,3+4,5*2,9</t>
  </si>
  <si>
    <t>41m2*0,3+(6,4+5,5)*0,3*5,4+5,53*0,45+2*0,8*0,45*3,25</t>
  </si>
  <si>
    <t>doplněk bl. 03/24 u MVE 5,53*0,73*0,73*3,85*0,5</t>
  </si>
  <si>
    <t>Kotvení betonových konstrukcí do stávajícího betonu fi12-650mm, navrtání a vyčištění otvoru hloubky 0,2m včetně vlepení 9ks/m2, přikotvení římsy bloku 03/9 celkem plocha  2*6*0,5</t>
  </si>
  <si>
    <t>Stěrka vyrovnávací pod těsnění 4/P bl. 24</t>
  </si>
  <si>
    <t>základ skříně elektronické zábrany - plašiče ryb</t>
  </si>
  <si>
    <t>0,8*0,5*1,0m</t>
  </si>
  <si>
    <t>4.26</t>
  </si>
  <si>
    <t>Separační geotextilie 600g/m2 pod dočasný zásyp koryta pro přejezd</t>
  </si>
  <si>
    <t>Dočasný přejezd koryta zásypem přes bloky cca 22-23 včetně odstranění cca 100m3</t>
  </si>
  <si>
    <t>výkop pro napojení stávajícího potrubí u objektu Flašarových</t>
  </si>
  <si>
    <t>2ks*3m*0,8*0,6</t>
  </si>
  <si>
    <t>Obsyp potrubí v napojení stávajícího fr. 4-8 u objektu Flašar.</t>
  </si>
  <si>
    <t>2*3*0,6*0,3</t>
  </si>
  <si>
    <t>rýhy pro napojení u objektu Flašarových</t>
  </si>
  <si>
    <t>34,78+35,17</t>
  </si>
  <si>
    <t>6,4*1,0*0,3m</t>
  </si>
  <si>
    <t xml:space="preserve">El. vedení k ovládání plašiče ryb 8/Z včetně  montáže. </t>
  </si>
  <si>
    <t>Elektronická zábrana je zařízení sloužící k omezení migrace ryb do prostoru, kde je jejich výskyt nežádoucí viz 8/Z. Ovladač je umístěn v samostatné skříňce na pravém břehu náhonu u štěrkové propusti.</t>
  </si>
  <si>
    <t>výkop rýha délky 145m a 6x rozšíření pro kabelovou komoru a základ skříně</t>
  </si>
  <si>
    <t>pažnice v ploše 10 x 3m</t>
  </si>
  <si>
    <t>3.12</t>
  </si>
  <si>
    <t>pažnice  v ploše 43 x 3m</t>
  </si>
  <si>
    <t>Vytažení zápor HEB200 dle bodů 3.2 a 3.3</t>
  </si>
  <si>
    <t>47ks délky 6,8m</t>
  </si>
  <si>
    <t>3.13</t>
  </si>
  <si>
    <t>Ošetření zápor emulzí proti přilnutí betonu pro zpětné vytažení</t>
  </si>
  <si>
    <t>3.14</t>
  </si>
  <si>
    <t>Zálivka vrtů po vytažení zápor</t>
  </si>
  <si>
    <t>47 x 6,8 = 319,6 bm</t>
  </si>
  <si>
    <t>předpokládaná obratovost 50%</t>
  </si>
  <si>
    <t>Štětovnice VL604 délka 6,0m včetně instalace</t>
  </si>
  <si>
    <t>Kamenný pohoz s urovnaným lícem pod mostem za blokem 03/7 fr. 63-125 v tl. 0,3m</t>
  </si>
  <si>
    <t>Ocelová skříň cca 800x600x 200 mm pro uložení ovladače elektronické zábrany, plašiče ryb včetně vyhřívání skříně cca 10W,  jističe a nosné konstrukce skříně (svařenec  z úhelníků 80/80/8mm cca 60kg), komplet včetně montáže</t>
  </si>
  <si>
    <t>Měření hladiny - přístroj včetně kabeláže 200 m</t>
  </si>
  <si>
    <t>Popis položky: Tenzometr 0-500cm s přenosem dat do vzdálenosti cca 200m včetně kabeláže KV JYTY cca 200m, plastové karabice, rozvaděče včetně uložení, pomocných trubek vedení s příchytkami u MVE a pod., včetně projektu a montáže</t>
  </si>
  <si>
    <r>
      <t xml:space="preserve">Výkaz výměr - </t>
    </r>
    <r>
      <rPr>
        <b/>
        <sz val="14"/>
        <rFont val="Arial CE"/>
        <charset val="238"/>
      </rPr>
      <t>výpočet množství</t>
    </r>
  </si>
  <si>
    <t>02.060-OPATŘENÍ V ÚSEKU BRANTICE, OHO, DÍLČÍ STAVBA 02.061, JEZ BRANTICE, STAVBA Č. 5882</t>
  </si>
  <si>
    <t>SO 03 REKONSTRUKCE NÁHONU A ODPADNÍHO KORYTA</t>
  </si>
  <si>
    <t>v.č. 03_4.1</t>
  </si>
  <si>
    <t>bloček</t>
  </si>
  <si>
    <t>popis</t>
  </si>
  <si>
    <t>délka</t>
  </si>
  <si>
    <t>šířka</t>
  </si>
  <si>
    <t>výška</t>
  </si>
  <si>
    <t>plocha</t>
  </si>
  <si>
    <t>03/1/1</t>
  </si>
  <si>
    <t>03/1/1b</t>
  </si>
  <si>
    <t>LB stěna štěrk. propusti</t>
  </si>
  <si>
    <t>03/1/1a</t>
  </si>
  <si>
    <t>03/1/2</t>
  </si>
  <si>
    <t>dno tl. 0,9m</t>
  </si>
  <si>
    <t>dno tl. 0,65m</t>
  </si>
  <si>
    <t xml:space="preserve">03/1/2 </t>
  </si>
  <si>
    <t>dno tl. 0,6m</t>
  </si>
  <si>
    <t>03/1/3</t>
  </si>
  <si>
    <t>LB stěna</t>
  </si>
  <si>
    <t>LB stěna u SO05</t>
  </si>
  <si>
    <t>náběh stěny</t>
  </si>
  <si>
    <t>03/1/4</t>
  </si>
  <si>
    <t>pilíř</t>
  </si>
  <si>
    <t>03/1/5</t>
  </si>
  <si>
    <t>03/1/6</t>
  </si>
  <si>
    <t>PB stěna</t>
  </si>
  <si>
    <t>03/1/7</t>
  </si>
  <si>
    <t>pilíř česlí</t>
  </si>
  <si>
    <t>03/1/8</t>
  </si>
  <si>
    <t>pilíř stavidel</t>
  </si>
  <si>
    <t>odpočet lávky</t>
  </si>
  <si>
    <t>03/1/9</t>
  </si>
  <si>
    <t>lávka česlí</t>
  </si>
  <si>
    <t>03/1/10</t>
  </si>
  <si>
    <t>lávka stavidel</t>
  </si>
  <si>
    <t>03/1/11</t>
  </si>
  <si>
    <t>římsa LB</t>
  </si>
  <si>
    <t>03/1/12</t>
  </si>
  <si>
    <t>03/1/13</t>
  </si>
  <si>
    <t>římsa PB</t>
  </si>
  <si>
    <t>Popis</t>
  </si>
  <si>
    <t>Výkres č. 03_4.2</t>
  </si>
  <si>
    <t>Bloky 2,3,4,5,6</t>
  </si>
  <si>
    <t>Výpočet (vzorec)</t>
  </si>
  <si>
    <t>Hodnota</t>
  </si>
  <si>
    <r>
      <t>Železobeton - blok 03/2/1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</si>
  <si>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36m2*0,6m</t>
  </si>
  <si>
    <r>
      <t>Železobeton - blok 03/2/2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</si>
  <si>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6,19m*2,5m*0,5m</t>
  </si>
  <si>
    <r>
      <t>Železobeton - blok 03/2/3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</si>
  <si>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5,81m*2,4m*0,5m</t>
  </si>
  <si>
    <r>
      <t>Železobeton - blok 03/2/4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</si>
  <si>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0,13m2*6,19m</t>
  </si>
  <si>
    <r>
      <t>Železobeton - blok 03/2/5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</si>
  <si>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0,13m2*5,81m</t>
  </si>
  <si>
    <r>
      <t>Železobeton - blok 03/2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</si>
  <si>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03/2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</si>
  <si>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37,3m2*0,15m</t>
  </si>
  <si>
    <r>
      <t>Polystyren do dilatací tl. 20 mm - blok 03/2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</si>
  <si>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03/2/2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</si>
  <si>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6,21m*0,9m+6,17m*2,5m</t>
  </si>
  <si>
    <r>
      <t>Bednění - blok 03/2/3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</si>
  <si>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5,83*2,5+5,79m*3,1m</t>
  </si>
  <si>
    <r>
      <t>Bednění - blok 03/2/4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</si>
  <si>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6,21m*0,07m+6,17m*0,07m+6,21m*0,2m+6,17m*0,2m</t>
  </si>
  <si>
    <r>
      <t>Bednění - blok 03/2/5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</si>
  <si>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5,83m*0,07m+5,79m*0,07m+5,83m*0,2m+5,79m*0,2m</t>
  </si>
  <si>
    <r>
      <t>Bednění - blok 03/2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</si>
  <si>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03/2/2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</si>
  <si>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6,17m*2,7m</t>
  </si>
  <si>
    <r>
      <t>Lešení - blok 03/2/3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</si>
  <si>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5,79m*2,7m</t>
  </si>
  <si>
    <r>
      <t>Lešení - blok 03/2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</si>
  <si>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03/2 (m)</t>
  </si>
  <si>
    <t>2,8m+5,5m+2,8m</t>
  </si>
  <si>
    <t>2/P KAB pracovní spára - blok 03/2 (m)</t>
  </si>
  <si>
    <t>6,29m+5,91m</t>
  </si>
  <si>
    <t>12/P Lišta - blok 03/2 (m)</t>
  </si>
  <si>
    <t>2*5,91m+2*6,29m</t>
  </si>
  <si>
    <t>13/P Okapový nos - blok 03/2 (m)</t>
  </si>
  <si>
    <r>
      <t>Železobeton - blok 03/3/1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</si>
  <si>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03/3/2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</si>
  <si>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6,11m*2,5m*0,5m</t>
  </si>
  <si>
    <r>
      <t>Železobeton - blok 03/3/3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</si>
  <si>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5,89m*2,32m*0,5m</t>
  </si>
  <si>
    <r>
      <t>Železobeton - blok 03/3/4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</si>
  <si>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0,13m2*6,11m</t>
  </si>
  <si>
    <r>
      <t>Železobeton - blok 03/3/5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</si>
  <si>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0,13m2*5,89m</t>
  </si>
  <si>
    <r>
      <t>Železobeton - blok 03/3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</si>
  <si>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03/3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</si>
  <si>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37,32m2*0,15m</t>
  </si>
  <si>
    <r>
      <t>Polystyren do dilatací tl. 20 mm - blok 03/3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</si>
  <si>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03/3/2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</si>
  <si>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6,12m*0,9m+6,10m*2,5m</t>
  </si>
  <si>
    <r>
      <t>Bednění - blok 03/3/3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</si>
  <si>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5,90*2,52+5,88m*3,12m</t>
  </si>
  <si>
    <r>
      <t>Bednění - blok 03/3/4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</si>
  <si>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6,12m*0,07m+6,10m*0,07m+6,12m*0,2m+6,10m*0,2m</t>
  </si>
  <si>
    <r>
      <t>Bednění - blok 03/3/5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</si>
  <si>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5,90m*0,07m+5,88m*0,07m+5,90m*0,2m+5,88m*0,2m</t>
  </si>
  <si>
    <r>
      <t>Bednění - blok 03/3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</si>
  <si>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03/3/2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</si>
  <si>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6,10m*2,7m</t>
  </si>
  <si>
    <r>
      <t>Lešení - blok 03/3/3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</si>
  <si>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5,88m*2,52m</t>
  </si>
  <si>
    <r>
      <t>Lešení - blok 03/3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</si>
  <si>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03/3 (m)</t>
  </si>
  <si>
    <t>2,8m+5,5m+2,62m</t>
  </si>
  <si>
    <t>2/P KAB pracovní spára - blok 03/3 (m)</t>
  </si>
  <si>
    <t>6,11m+5,89m</t>
  </si>
  <si>
    <t>12/P Lišta - blok 03/3 (m)</t>
  </si>
  <si>
    <t>2*6,11m+2*5,89m</t>
  </si>
  <si>
    <t>13/P Okapový nos - blok 03/3 (m)</t>
  </si>
  <si>
    <r>
      <t>Železobeton - blok 03/4/1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</si>
  <si>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03/4/2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</si>
  <si>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6,03m*2,5m*0,5m</t>
  </si>
  <si>
    <r>
      <t>Železobeton - blok 03/4/3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</si>
  <si>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5,97m*2,07m*0,5m</t>
  </si>
  <si>
    <r>
      <t>Železobeton - blok 03/4/4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</si>
  <si>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0,13m2*6,03m</t>
  </si>
  <si>
    <r>
      <t>Železobeton - blok 03/4/5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</si>
  <si>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0,13m2*5,97m</t>
  </si>
  <si>
    <r>
      <t>Železobeton - blok 03/4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</si>
  <si>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03/4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</si>
  <si>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37,34m2*0,15m</t>
  </si>
  <si>
    <r>
      <t>Polystyren do dilatací tl. 20 mm - blok 03/4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</si>
  <si>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03/4/2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</si>
  <si>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6,03m*0,9m+6,03m*2,5m</t>
  </si>
  <si>
    <r>
      <t>Bednění - blok 03/4/3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</si>
  <si>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5,97*2,07+5,97m*2,67m</t>
  </si>
  <si>
    <r>
      <t>Bednění - blok 03/4/4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</si>
  <si>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6,03m*0,07m+6,03m*0,07m+6,03m*0,2m+6,03m*0,2m</t>
  </si>
  <si>
    <r>
      <t>Bednění - blok 03/4/5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</si>
  <si>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5,97m*0,07m+5,97m*0,07m+5,97m*0,2m+5,97m*0,2m</t>
  </si>
  <si>
    <r>
      <t>Bednění - blok 03/4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</si>
  <si>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03/4/2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</si>
  <si>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6,03m*2,7m</t>
  </si>
  <si>
    <r>
      <t>Lešení - blok 03/4/3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</si>
  <si>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5,97m*2,25m</t>
  </si>
  <si>
    <r>
      <t>Lešení - blok 03/4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</si>
  <si>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03/4 (m)</t>
  </si>
  <si>
    <t>2,8m+5,5m+2,45m</t>
  </si>
  <si>
    <t>2/P KAB pracovní spára - blok 03/4 (m)</t>
  </si>
  <si>
    <t>6,03m+5,97m</t>
  </si>
  <si>
    <t>12/P Lišta - blok 03/4 (m)</t>
  </si>
  <si>
    <t>2*6,03m+2*5,97m</t>
  </si>
  <si>
    <t>13/P Okapový nos - blok 03/4 (m)</t>
  </si>
  <si>
    <r>
      <t>Železobeton - blok 03/5/1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</si>
  <si>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03/5/2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</si>
  <si>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6,07m*2,5m*0,5m</t>
  </si>
  <si>
    <r>
      <t>Železobeton - blok 03/5/3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</si>
  <si>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5,94m*1,89m*0,5m</t>
  </si>
  <si>
    <r>
      <t>Železobeton - blok 03/5/4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</si>
  <si>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0,13m2*6,07m</t>
  </si>
  <si>
    <r>
      <t>Železobeton - blok 03/5/5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</si>
  <si>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0,13m2*5,94m</t>
  </si>
  <si>
    <r>
      <t>Železobeton - blok 03/5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</si>
  <si>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03/5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</si>
  <si>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37,33m2*0,15m</t>
  </si>
  <si>
    <r>
      <t>Polystyren do dilatací tl. 20 mm - blok 03/5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</si>
  <si>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03/5/2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</si>
  <si>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6,07m*0,9m+6,07m*2,5m</t>
  </si>
  <si>
    <r>
      <t>Bednění - blok 03/5/3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</si>
  <si>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5,94*1,89+5,94m*2,49m</t>
  </si>
  <si>
    <r>
      <t>Bednění - blok 03/5/4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</si>
  <si>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6,07m*0,07m+6,07m*0,07m+6,07m*0,2m+6,07m*0,2m</t>
  </si>
  <si>
    <r>
      <t>Bednění - blok 03/5/5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</si>
  <si>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5,94m*0,07m+5,94m*0,07m+5,94m*0,2m+5,94m*0,2m</t>
  </si>
  <si>
    <r>
      <t>Bednění - blok 03/5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</si>
  <si>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03/5/2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</si>
  <si>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6,07m*2,7m</t>
  </si>
  <si>
    <r>
      <t>Lešení - blok 03/5/3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</si>
  <si>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5,94m*2,09m</t>
  </si>
  <si>
    <r>
      <t>Lešení - blok 03/5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</si>
  <si>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03/5 (m)</t>
  </si>
  <si>
    <t>2,8m+5,5m+2,28m</t>
  </si>
  <si>
    <t>2/P KAB pracovní spára - blok 03/5 (m)</t>
  </si>
  <si>
    <t>6,07m+5,94m</t>
  </si>
  <si>
    <t>12/P Lišta - blok 03/5 (m)</t>
  </si>
  <si>
    <t>2*6,07m+2*5,94m</t>
  </si>
  <si>
    <t>13/P Okapový nos - blok 03/5 (m)</t>
  </si>
  <si>
    <r>
      <t>Železobeton - blok 03/6/1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</si>
  <si>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03/6/2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</si>
  <si>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6,06m*2,5m*0,5m</t>
  </si>
  <si>
    <r>
      <t>Železobeton - blok 03/6/3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</si>
  <si>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5,94m*1,80m*0,5m-0,8m*0,25m*1,80m</t>
  </si>
  <si>
    <r>
      <t>Železobeton - blok 03/6/4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</si>
  <si>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0,13m2*6,06m</t>
  </si>
  <si>
    <r>
      <t>Železobeton - blok 03/6/5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</si>
  <si>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03/6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</si>
  <si>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03/6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</si>
  <si>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37,35m2*0,15m</t>
  </si>
  <si>
    <r>
      <t>Polystyren do dilatací tl. 20 mm - blok 03/6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</si>
  <si>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03/6/2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</si>
  <si>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6,07m*0,9m+6,05m*2,5m</t>
  </si>
  <si>
    <r>
      <t>Bednění - blok 03/6/3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</si>
  <si>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5,95*1,80+5,93m*2,40m</t>
  </si>
  <si>
    <r>
      <t>Bednění - blok 03/6/4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</si>
  <si>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6,07m*0,07m+6,05m*0,07m+6,07m*0,2m+6,05m*0,2m</t>
  </si>
  <si>
    <r>
      <t>Bednění - blok 03/6/5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</si>
  <si>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5,95m*0,07m+5,93m*0,07m+5,95m*0,2m+5,93m*0,2m</t>
  </si>
  <si>
    <r>
      <t>Bednění - blok 03/6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</si>
  <si>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03/6/2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</si>
  <si>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6,05m*2,7m</t>
  </si>
  <si>
    <r>
      <t>Lešení - blok 03/6/3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</si>
  <si>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5,94m*2,00m</t>
  </si>
  <si>
    <r>
      <t>Lešení - blok 03/6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</si>
  <si>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03/6 (m)</t>
  </si>
  <si>
    <t>2,8m+5,5m+2,10m</t>
  </si>
  <si>
    <t>2/P KAB pracovní spára - blok 03/6 (m)</t>
  </si>
  <si>
    <t>6,06m+5,94m</t>
  </si>
  <si>
    <t>12/P Lišta - blok 03/6 (m)</t>
  </si>
  <si>
    <t>2*6,06m+2*5,94m</t>
  </si>
  <si>
    <t>13/P Okapový nos - blok 03/6 (m)</t>
  </si>
  <si>
    <t>Výkres č. 03_4.3</t>
  </si>
  <si>
    <t>Bloky 7,8</t>
  </si>
  <si>
    <r>
      <t>Železobeton - blok 03/7/1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</si>
  <si>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36m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*0,6m</t>
    </r>
  </si>
  <si>
    <r>
      <t>Železobeton - blok 03/7/2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</si>
  <si>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12,46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*0,5 m</t>
    </r>
  </si>
  <si>
    <r>
      <t>Železobeton - blok 03/7/3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</si>
  <si>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5,94m*1,8m*0,5m</t>
  </si>
  <si>
    <r>
      <t>Železobeton - blok 03/7/4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</si>
  <si>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*6,4m</t>
    </r>
  </si>
  <si>
    <r>
      <t>Železobeton - blok 03/7/5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</si>
  <si>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*5,94m</t>
    </r>
  </si>
  <si>
    <r>
      <t>Železobeton - blok 03/7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</si>
  <si>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03/7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</si>
  <si>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37,34m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</si>
  <si>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03/7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</si>
  <si>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03/7/2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</si>
  <si>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0,8m*3,1m+5,27m*2,6m+0,8m*2,5m+5,27m*2,0m</t>
  </si>
  <si>
    <r>
      <t>Bednění - blok 03/7/3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</si>
  <si>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5,94m*2,4m+5,94m*1,8m</t>
  </si>
  <si>
    <r>
      <t>Bednění - blok 03/7/4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</si>
  <si>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0,80m*0,07m+0,80m*0,07m+0,80m*0,2m+0,80m*0,2m</t>
  </si>
  <si>
    <r>
      <t>Bednění - blok 03/7/5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</si>
  <si>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03/7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</si>
  <si>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03/7/2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</si>
  <si>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0,8m*2,7m+5,27m*2,0m</t>
  </si>
  <si>
    <r>
      <t>Lešení - blok 03/7/3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</si>
  <si>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5,94m*2,0m</t>
  </si>
  <si>
    <r>
      <t>Lešení - blok 03/7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</si>
  <si>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03/7 (m)</t>
  </si>
  <si>
    <t>2,8m+5,5m+2,1m</t>
  </si>
  <si>
    <t>2/P KAB pracovní spára - blok 03/7 (m)</t>
  </si>
  <si>
    <t>12/P Lišta - blok 03/7 (m)</t>
  </si>
  <si>
    <t>13/P Okapový nos - blok 03/7 (m)</t>
  </si>
  <si>
    <r>
      <t>Železobeton - blok 03/8/1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</si>
  <si>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27,83m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*0,6m</t>
    </r>
  </si>
  <si>
    <r>
      <t>Železobeton - blok 03/8/2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</si>
  <si>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4,68m*2,5m*0,5m</t>
  </si>
  <si>
    <r>
      <t>Železobeton - blok 03/8/3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</si>
  <si>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4,59m*1,80m*0,5m</t>
  </si>
  <si>
    <r>
      <t>Železobeton - blok 03/8/4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</si>
  <si>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*4,68m</t>
    </r>
  </si>
  <si>
    <r>
      <t>Železobeton - blok 03/8/5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</si>
  <si>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*4,59m</t>
    </r>
  </si>
  <si>
    <r>
      <t>Železobeton - blok 03/8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</si>
  <si>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03/8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</si>
  <si>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28,86m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</si>
  <si>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03/8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</si>
  <si>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03/8/2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</si>
  <si>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4,68m*3,10m+4,68m*2,5m</t>
  </si>
  <si>
    <r>
      <t>Bednění - blok 03/8/3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</si>
  <si>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4,59*0,25+4,59m*1,80m</t>
  </si>
  <si>
    <r>
      <t>Bednění - blok 03/8/4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</si>
  <si>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4,69m*0,07m+4,67m*0,07m+4,69m*0,2m+4,67m*0,2m</t>
  </si>
  <si>
    <r>
      <t>Bednění - blok 03/8/5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</si>
  <si>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4,60m*0,07m+4,58m*0,07m+4,60m*0,2m+4,58m*0,2m</t>
  </si>
  <si>
    <r>
      <t>Bednění - blok 03/8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</si>
  <si>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03/8/2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</si>
  <si>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4,68m*2,7m</t>
  </si>
  <si>
    <r>
      <t>Lešení - blok 03/8/3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</si>
  <si>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4,59m*2,0m</t>
  </si>
  <si>
    <r>
      <t>Lešení - blok 03/8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</si>
  <si>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03/8 (m)</t>
  </si>
  <si>
    <t>2/P KAB pracovní spára - blok 03/8 (m)</t>
  </si>
  <si>
    <t>4,68m+4,59m</t>
  </si>
  <si>
    <t>12/P Lišta - blok 03/8 (m)</t>
  </si>
  <si>
    <t>2*4,68m+2*4,59m</t>
  </si>
  <si>
    <t>13/P Okapový nos - blok 03/8 (m)</t>
  </si>
  <si>
    <t>Výkres č. 03_4.4</t>
  </si>
  <si>
    <t>Bloky 9,10,11,12,13</t>
  </si>
  <si>
    <r>
      <t>Železobeton - blok 03/9/1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</si>
  <si>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03/9/2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</si>
  <si>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03/9/3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</si>
  <si>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03/9/4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</si>
  <si>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*6,06m</t>
    </r>
  </si>
  <si>
    <r>
      <t>Železobeton - blok 03/9/5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</si>
  <si>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03/9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</si>
  <si>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03/9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</si>
  <si>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37,33m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</si>
  <si>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03/9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</si>
  <si>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03/9/2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</si>
  <si>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6,06m*3,10m+6,06m*2,5m</t>
  </si>
  <si>
    <r>
      <t>Bednění - blok 03/9/3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</si>
  <si>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5,94*0,25+5,94m*1,80m</t>
  </si>
  <si>
    <r>
      <t>Bednění - blok 03/9/4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</si>
  <si>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03/9/5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</si>
  <si>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03/9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</si>
  <si>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03/9/2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</si>
  <si>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6,06m*2,7m</t>
  </si>
  <si>
    <r>
      <t>Lešení - blok 03/9/3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</si>
  <si>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03/9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</si>
  <si>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Železobeton - blok 03/10/1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</si>
  <si>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03/10/2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</si>
  <si>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03/10/3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</si>
  <si>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03/10/4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</si>
  <si>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03/10/5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</si>
  <si>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03/10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</si>
  <si>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03/10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</si>
  <si>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37,29m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</si>
  <si>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03/10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</si>
  <si>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03/10/2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</si>
  <si>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03/10/3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</si>
  <si>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03/10/4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</si>
  <si>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03/10/5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</si>
  <si>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03/10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</si>
  <si>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03/10/2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</si>
  <si>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03/10/3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</si>
  <si>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03/10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</si>
  <si>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03/10 (m)</t>
  </si>
  <si>
    <t>2/P KAB pracovní spára - blok 03/10 (m)</t>
  </si>
  <si>
    <t>12/P Lišta - blok 03/10 (m)</t>
  </si>
  <si>
    <t>13/P Okapový nos - blok 03/10 (m)</t>
  </si>
  <si>
    <r>
      <t>Železobeton - blok 03/11/1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</si>
  <si>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03/11/2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</si>
  <si>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6,0m*2,5m*0,5m</t>
  </si>
  <si>
    <r>
      <t>Železobeton - blok 03/11/3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</si>
  <si>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6,0m*1,8m*0,5m</t>
  </si>
  <si>
    <r>
      <t>Železobeton - blok 03/11/4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</si>
  <si>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*6,0m</t>
    </r>
  </si>
  <si>
    <r>
      <t>Železobeton - blok 03/11/5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</si>
  <si>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03/11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</si>
  <si>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03/11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</si>
  <si>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37,36m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</si>
  <si>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03/11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</si>
  <si>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03/11/2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</si>
  <si>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6,0m*3,1m+6,0m*2,5m</t>
  </si>
  <si>
    <r>
      <t>Bednění - blok 03/11/3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</si>
  <si>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6,0*0,25+6,0m*1,80m</t>
  </si>
  <si>
    <r>
      <t>Bednění - blok 03/11/4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</si>
  <si>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6,0m*0,07m+6,0m*0,07m+6,0m*0,2m+6,0m*0,2m</t>
  </si>
  <si>
    <r>
      <t>Bednění - blok 03/11/5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</si>
  <si>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03/11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</si>
  <si>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03/11/2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</si>
  <si>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6,0m*2,7m</t>
  </si>
  <si>
    <r>
      <t>Lešení - blok 03/11/3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</si>
  <si>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6,0m*2,0m</t>
  </si>
  <si>
    <r>
      <t>Lešení - blok 03/11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</si>
  <si>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03/11 (m)</t>
  </si>
  <si>
    <t>2/P KAB pracovní spára - blok 03/11 (m)</t>
  </si>
  <si>
    <t>6,0m+6,0m</t>
  </si>
  <si>
    <t>12/P Lišta - blok 03/11 (m)</t>
  </si>
  <si>
    <t>2*6,0m+2*6,0m</t>
  </si>
  <si>
    <t>13/P Okapový nos - blok 03/11 (m)</t>
  </si>
  <si>
    <r>
      <t>Železobeton - blok 03/12/1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</si>
  <si>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03/12/2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</si>
  <si>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03/12/3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</si>
  <si>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03/12/4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</si>
  <si>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03/12/5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</si>
  <si>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03/12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</si>
  <si>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03/12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</si>
  <si>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Polystyren do dilatací tl. 20 mm - blok 03/12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</si>
  <si>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03/12/2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</si>
  <si>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03/12/3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</si>
  <si>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03/12/4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</si>
  <si>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03/12/5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</si>
  <si>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</si>
  <si>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03/12/2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</si>
  <si>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03/12/3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</si>
  <si>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03/12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</si>
  <si>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03/12 (m)</t>
  </si>
  <si>
    <t>2/P KAB pracovní spára - blok 03/12 (m)</t>
  </si>
  <si>
    <t>12/P Lišta - blok 03/12 (m)</t>
  </si>
  <si>
    <t>13/P Okapový nos - blok 03/12 (m)</t>
  </si>
  <si>
    <r>
      <t>Železobeton - blok 03/13/1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</si>
  <si>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03/13/2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</si>
  <si>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03/13/3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</si>
  <si>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03/13/4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</si>
  <si>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03/13/5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</si>
  <si>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03/13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</si>
  <si>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03/13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</si>
  <si>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Polystyren do dilatací tl. 20 mm - blok 03/13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</si>
  <si>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Bednění - blok 03/13/2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</si>
  <si>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03/13/3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</si>
  <si>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03/13/4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</si>
  <si>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03/13/5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</si>
  <si>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Bednění - blok 03/13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</si>
  <si>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Lešení - blok 03/13/2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</si>
  <si>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03/13/3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</si>
  <si>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Lešení - blok 03/13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</si>
  <si>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1/P dilatační pás - blok 03/13 (m)</t>
  </si>
  <si>
    <t>2/P KAB pracovní spára - blok 03/13 (m)</t>
  </si>
  <si>
    <t>12/P Lišta - blok 03/13 (m)</t>
  </si>
  <si>
    <t>13/P Okapový nos - blok 03/13 (m)</t>
  </si>
  <si>
    <t>Výkres č. 03_4.5</t>
  </si>
  <si>
    <t>Bloky 14,15,16,17</t>
  </si>
  <si>
    <r>
      <t>Železobeton - blok 03/14/1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</si>
  <si>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Železobeton - blok 03/14/2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</si>
  <si>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5,71m*2,5m*0,5m</t>
  </si>
  <si>
    <r>
      <t>Železobeton - blok 03/14/3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</si>
  <si>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6,29m*1,8m*0,5m</t>
  </si>
  <si>
    <r>
      <t>Železobeton - blok 03/14/4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</si>
  <si>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*5,71m</t>
    </r>
  </si>
  <si>
    <r>
      <t>Železobeton - blok 03/14/5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</si>
  <si>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0,13m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*6,29m</t>
    </r>
  </si>
  <si>
    <r>
      <t>Železobeton - blok 03/14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</si>
  <si>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Podkladní beton - blok 03/14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</si>
  <si>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37,42m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*0,15m</t>
    </r>
  </si>
  <si>
    <r>
      <t>Polystyren do dilatací tl. 20 mm - blok 03/14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</si>
  <si>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bloky 14,15,16,17</t>
  </si>
  <si>
    <t>dno 144,10 m2</t>
  </si>
  <si>
    <t>144,10*0,6</t>
  </si>
  <si>
    <t>pravá stěna délka 26,25m</t>
  </si>
  <si>
    <t>26,25*(1,8*0,5+0,2*0,64)</t>
  </si>
  <si>
    <t>levá stěna délka 21,80m</t>
  </si>
  <si>
    <t>21,80*(2,5*0,5+0,2*0,64)</t>
  </si>
  <si>
    <t>schodiště plocha řezu 0,665m2</t>
  </si>
  <si>
    <t>0,665*1,2</t>
  </si>
  <si>
    <t>boční stěny schodiště 1,56m2</t>
  </si>
  <si>
    <t>2*0,2*1,56</t>
  </si>
  <si>
    <t>celkem bloky 14 až 17</t>
  </si>
  <si>
    <t>bloky 18,19,20,21</t>
  </si>
  <si>
    <t>dno 4*6*6=144m2</t>
  </si>
  <si>
    <t>144*0,6</t>
  </si>
  <si>
    <t>pravá stěna 24m</t>
  </si>
  <si>
    <t>24*(1,8*0,5+0,2*0,64)</t>
  </si>
  <si>
    <t xml:space="preserve">levá stěna </t>
  </si>
  <si>
    <t>24*(2,5*0,5+0,2*0,64)</t>
  </si>
  <si>
    <t>celkem bloky 18 až 21</t>
  </si>
  <si>
    <t>bloky 22, 23,24</t>
  </si>
  <si>
    <t>dno 22+23 75,1 m2, blok 24: 44,05m2 sklon 1,02</t>
  </si>
  <si>
    <t>75,1*0,6+44,05*1,02*0,6</t>
  </si>
  <si>
    <t>pravá stěna bl. 22+23 dl. 11,84m, bl. 24 dl.4,24m pruměr. výška 2,35m</t>
  </si>
  <si>
    <t>11,84*(2,3*0,5+0,2*0,64)+4,24*(2,35*0,5+0,2*0,64)</t>
  </si>
  <si>
    <t>levá stěna bl. 22+23 dl. 12,05m, bl.24 dl. 6,31m, průměr. výška 2,5m</t>
  </si>
  <si>
    <t>12,05*(2,11*0,5+0,2*0,64)+6,31*(2,5*0,5+0,2*0,64)</t>
  </si>
  <si>
    <t>celkem bloky 22 až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</si>
</sst>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0.00000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 CE"/>
      <charset val="238"/>
    </font>
    <font>
      <b/>
      <sz val="14"/>
      <name val="Arial CE"/>
      <charset val="238"/>
    </font>
    <font>
      <b/>
      <sz val="12"/>
      <color indexed="8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charset val="238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MS Sans Serif"/>
      <charset val="238"/>
    </font>
    <font>
      <b/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9"/>
      <name val="MS Sans Serif"/>
      <charset val="238"/>
    </font>
    <font>
      <vertAlign val="superscript"/>
      <sz val="9"/>
      <name val="Arial CE"/>
      <charset val="238"/>
    </font>
    <font>
      <vertAlign val="superscript"/>
      <sz val="9"/>
      <name val="Arial CE"/>
      <family val="2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b/>
      <sz val="9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 CE"/>
    </font>
    <font>
      <sz val="9"/>
      <name val="Arial CE"/>
      <family val="2"/>
      <charset val="238"/>
    </font>
    <font>
      <sz val="9"/>
      <name val="GreekC"/>
      <charset val="238"/>
    </font>
    <font>
      <b/>
      <sz val="18"/>
      <name val="Arial CE"/>
      <charset val="238"/>
    </font>
    <font>
      <b/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30" fillId="0" borderId="0"/>
    <xf numFmtId="0" fontId="44" fillId="0" borderId="0"/>
  </cellStyleXfs>
  <cellXfs count="369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7" fillId="0" borderId="11" xfId="0" applyFont="1" applyBorder="1"/>
    <xf numFmtId="0" fontId="17" fillId="0" borderId="11" xfId="0" applyFont="1" applyBorder="1" applyAlignment="1">
      <alignment horizontal="center"/>
    </xf>
    <xf numFmtId="2" fontId="17" fillId="0" borderId="11" xfId="0" applyNumberFormat="1" applyFont="1" applyBorder="1" applyAlignment="1">
      <alignment horizontal="center"/>
    </xf>
    <xf numFmtId="0" fontId="17" fillId="0" borderId="12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7" fillId="0" borderId="14" xfId="0" applyFont="1" applyFill="1" applyBorder="1"/>
    <xf numFmtId="0" fontId="19" fillId="0" borderId="15" xfId="0" applyFont="1" applyBorder="1"/>
    <xf numFmtId="0" fontId="20" fillId="0" borderId="15" xfId="0" applyFont="1" applyBorder="1"/>
    <xf numFmtId="0" fontId="20" fillId="0" borderId="16" xfId="0" applyFont="1" applyBorder="1"/>
    <xf numFmtId="0" fontId="19" fillId="0" borderId="0" xfId="0" applyFont="1" applyBorder="1"/>
    <xf numFmtId="2" fontId="19" fillId="0" borderId="20" xfId="0" applyNumberFormat="1" applyFont="1" applyBorder="1"/>
    <xf numFmtId="0" fontId="17" fillId="0" borderId="13" xfId="0" applyFont="1" applyBorder="1"/>
    <xf numFmtId="0" fontId="20" fillId="0" borderId="13" xfId="0" applyFont="1" applyBorder="1"/>
    <xf numFmtId="0" fontId="20" fillId="0" borderId="0" xfId="0" applyFont="1" applyBorder="1"/>
    <xf numFmtId="2" fontId="20" fillId="0" borderId="20" xfId="0" applyNumberFormat="1" applyFont="1" applyBorder="1"/>
    <xf numFmtId="0" fontId="20" fillId="0" borderId="21" xfId="0" applyFont="1" applyBorder="1"/>
    <xf numFmtId="0" fontId="20" fillId="0" borderId="22" xfId="0" applyFont="1" applyBorder="1"/>
    <xf numFmtId="2" fontId="19" fillId="0" borderId="0" xfId="0" applyNumberFormat="1" applyFont="1" applyBorder="1"/>
    <xf numFmtId="2" fontId="19" fillId="0" borderId="1" xfId="0" applyNumberFormat="1" applyFont="1" applyBorder="1" applyAlignment="1">
      <alignment vertical="center"/>
    </xf>
    <xf numFmtId="2" fontId="19" fillId="0" borderId="1" xfId="0" applyNumberFormat="1" applyFont="1" applyBorder="1"/>
    <xf numFmtId="2" fontId="19" fillId="0" borderId="1" xfId="0" applyNumberFormat="1" applyFont="1" applyBorder="1" applyAlignment="1"/>
    <xf numFmtId="2" fontId="20" fillId="0" borderId="0" xfId="0" applyNumberFormat="1" applyFont="1" applyBorder="1"/>
    <xf numFmtId="2" fontId="21" fillId="0" borderId="0" xfId="0" applyNumberFormat="1" applyFont="1" applyBorder="1" applyAlignment="1"/>
    <xf numFmtId="2" fontId="20" fillId="0" borderId="22" xfId="0" applyNumberFormat="1" applyFont="1" applyBorder="1"/>
    <xf numFmtId="2" fontId="21" fillId="0" borderId="22" xfId="0" applyNumberFormat="1" applyFont="1" applyBorder="1" applyAlignment="1"/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/>
    <xf numFmtId="0" fontId="9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49" fontId="22" fillId="0" borderId="0" xfId="0" applyNumberFormat="1" applyFont="1" applyFill="1" applyBorder="1" applyAlignment="1">
      <alignment vertical="center"/>
    </xf>
    <xf numFmtId="0" fontId="22" fillId="0" borderId="0" xfId="0" applyFont="1"/>
    <xf numFmtId="49" fontId="0" fillId="0" borderId="0" xfId="0" applyNumberFormat="1"/>
    <xf numFmtId="0" fontId="10" fillId="0" borderId="1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/>
    </xf>
    <xf numFmtId="2" fontId="17" fillId="0" borderId="12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vertical="center"/>
    </xf>
    <xf numFmtId="2" fontId="24" fillId="0" borderId="1" xfId="0" applyNumberFormat="1" applyFont="1" applyBorder="1" applyAlignment="1"/>
    <xf numFmtId="2" fontId="19" fillId="0" borderId="3" xfId="0" applyNumberFormat="1" applyFont="1" applyBorder="1" applyAlignment="1">
      <alignment vertical="center"/>
    </xf>
    <xf numFmtId="2" fontId="19" fillId="0" borderId="3" xfId="0" applyNumberFormat="1" applyFont="1" applyBorder="1" applyAlignment="1"/>
    <xf numFmtId="2" fontId="24" fillId="0" borderId="3" xfId="0" applyNumberFormat="1" applyFont="1" applyBorder="1" applyAlignment="1"/>
    <xf numFmtId="49" fontId="10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/>
    </xf>
    <xf numFmtId="165" fontId="10" fillId="0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0" fillId="0" borderId="3" xfId="0" applyFont="1" applyFill="1" applyBorder="1" applyAlignment="1">
      <alignment horizontal="center" vertical="center"/>
    </xf>
    <xf numFmtId="0" fontId="10" fillId="0" borderId="0" xfId="0" applyFont="1"/>
    <xf numFmtId="165" fontId="9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/>
    </xf>
    <xf numFmtId="2" fontId="24" fillId="0" borderId="1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2" fontId="24" fillId="0" borderId="3" xfId="0" applyNumberFormat="1" applyFont="1" applyBorder="1" applyAlignment="1">
      <alignment vertical="center"/>
    </xf>
    <xf numFmtId="0" fontId="0" fillId="0" borderId="1" xfId="0" applyFill="1" applyBorder="1" applyAlignment="1">
      <alignment wrapText="1"/>
    </xf>
    <xf numFmtId="0" fontId="28" fillId="0" borderId="0" xfId="0" applyFont="1"/>
    <xf numFmtId="0" fontId="21" fillId="0" borderId="1" xfId="0" applyFont="1" applyBorder="1" applyAlignment="1"/>
    <xf numFmtId="0" fontId="14" fillId="0" borderId="1" xfId="0" applyFont="1" applyBorder="1"/>
    <xf numFmtId="2" fontId="15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2" fontId="14" fillId="0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/>
    <xf numFmtId="0" fontId="16" fillId="0" borderId="0" xfId="0" applyFont="1"/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0" xfId="0" applyBorder="1"/>
    <xf numFmtId="0" fontId="31" fillId="0" borderId="0" xfId="3" applyFont="1" applyAlignment="1">
      <alignment horizontal="left"/>
    </xf>
    <xf numFmtId="0" fontId="33" fillId="0" borderId="13" xfId="3" applyFont="1" applyBorder="1" applyAlignment="1">
      <alignment horizontal="center"/>
    </xf>
    <xf numFmtId="0" fontId="33" fillId="0" borderId="35" xfId="3" applyFont="1" applyBorder="1" applyAlignment="1">
      <alignment horizontal="center"/>
    </xf>
    <xf numFmtId="0" fontId="33" fillId="0" borderId="8" xfId="3" applyFont="1" applyBorder="1" applyAlignment="1">
      <alignment horizontal="center"/>
    </xf>
    <xf numFmtId="0" fontId="33" fillId="0" borderId="19" xfId="3" applyFont="1" applyBorder="1" applyAlignment="1">
      <alignment horizontal="center"/>
    </xf>
    <xf numFmtId="0" fontId="33" fillId="0" borderId="21" xfId="3" applyFont="1" applyBorder="1" applyAlignment="1">
      <alignment horizontal="center"/>
    </xf>
    <xf numFmtId="0" fontId="33" fillId="0" borderId="12" xfId="3" applyFont="1" applyBorder="1" applyAlignment="1">
      <alignment horizontal="center"/>
    </xf>
    <xf numFmtId="0" fontId="33" fillId="0" borderId="4" xfId="3" applyFont="1" applyBorder="1" applyAlignment="1">
      <alignment horizontal="center"/>
    </xf>
    <xf numFmtId="0" fontId="33" fillId="0" borderId="5" xfId="3" applyFont="1" applyBorder="1" applyAlignment="1">
      <alignment horizontal="center"/>
    </xf>
    <xf numFmtId="0" fontId="33" fillId="0" borderId="6" xfId="3" applyFont="1" applyBorder="1" applyAlignment="1">
      <alignment horizontal="center"/>
    </xf>
    <xf numFmtId="0" fontId="37" fillId="0" borderId="36" xfId="3" applyFont="1" applyBorder="1"/>
    <xf numFmtId="0" fontId="37" fillId="0" borderId="37" xfId="3" applyFont="1" applyBorder="1"/>
    <xf numFmtId="2" fontId="37" fillId="0" borderId="37" xfId="3" applyNumberFormat="1" applyFont="1" applyBorder="1"/>
    <xf numFmtId="0" fontId="37" fillId="0" borderId="38" xfId="3" applyFont="1" applyBorder="1"/>
    <xf numFmtId="0" fontId="33" fillId="0" borderId="35" xfId="3" applyFont="1" applyBorder="1" applyAlignment="1">
      <alignment horizontal="center" vertical="center"/>
    </xf>
    <xf numFmtId="2" fontId="33" fillId="0" borderId="29" xfId="3" applyNumberFormat="1" applyFont="1" applyBorder="1" applyAlignment="1">
      <alignment horizontal="center" vertical="center"/>
    </xf>
    <xf numFmtId="2" fontId="33" fillId="0" borderId="40" xfId="3" applyNumberFormat="1" applyFont="1" applyBorder="1" applyAlignment="1">
      <alignment horizontal="center" vertical="center"/>
    </xf>
    <xf numFmtId="2" fontId="33" fillId="0" borderId="46" xfId="3" applyNumberFormat="1" applyFont="1" applyBorder="1" applyAlignment="1">
      <alignment horizontal="center" vertical="center"/>
    </xf>
    <xf numFmtId="2" fontId="33" fillId="0" borderId="47" xfId="3" applyNumberFormat="1" applyFont="1" applyBorder="1" applyAlignment="1">
      <alignment horizontal="center" vertical="center"/>
    </xf>
    <xf numFmtId="2" fontId="38" fillId="0" borderId="45" xfId="3" applyNumberFormat="1" applyFont="1" applyBorder="1" applyAlignment="1">
      <alignment horizontal="center" vertical="center"/>
    </xf>
    <xf numFmtId="0" fontId="37" fillId="0" borderId="0" xfId="3" applyFont="1"/>
    <xf numFmtId="2" fontId="41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9" xfId="0" applyBorder="1"/>
    <xf numFmtId="0" fontId="0" fillId="0" borderId="39" xfId="0" applyBorder="1"/>
    <xf numFmtId="0" fontId="0" fillId="0" borderId="9" xfId="0" applyBorder="1"/>
    <xf numFmtId="0" fontId="0" fillId="0" borderId="50" xfId="0" applyBorder="1"/>
    <xf numFmtId="0" fontId="0" fillId="0" borderId="18" xfId="0" applyBorder="1" applyAlignment="1">
      <alignment horizontal="center"/>
    </xf>
    <xf numFmtId="49" fontId="0" fillId="0" borderId="29" xfId="0" applyNumberFormat="1" applyBorder="1" applyAlignment="1">
      <alignment horizontal="center" vertical="center"/>
    </xf>
    <xf numFmtId="0" fontId="0" fillId="0" borderId="51" xfId="0" applyBorder="1" applyAlignment="1">
      <alignment vertical="center" wrapText="1"/>
    </xf>
    <xf numFmtId="0" fontId="42" fillId="0" borderId="52" xfId="0" applyFont="1" applyBorder="1" applyAlignment="1">
      <alignment horizontal="center" vertical="center"/>
    </xf>
    <xf numFmtId="165" fontId="32" fillId="0" borderId="52" xfId="0" applyNumberFormat="1" applyFont="1" applyBorder="1" applyAlignment="1">
      <alignment horizontal="center" vertical="center"/>
    </xf>
    <xf numFmtId="0" fontId="33" fillId="0" borderId="53" xfId="0" applyFont="1" applyBorder="1" applyAlignment="1">
      <alignment horizontal="center" vertical="center" wrapText="1"/>
    </xf>
    <xf numFmtId="49" fontId="33" fillId="0" borderId="13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 shrinkToFit="1"/>
    </xf>
    <xf numFmtId="0" fontId="0" fillId="0" borderId="0" xfId="0" applyAlignment="1">
      <alignment vertical="center"/>
    </xf>
    <xf numFmtId="165" fontId="33" fillId="0" borderId="0" xfId="0" applyNumberFormat="1" applyFont="1" applyAlignment="1">
      <alignment horizontal="center" vertical="center"/>
    </xf>
    <xf numFmtId="0" fontId="33" fillId="0" borderId="18" xfId="0" applyFont="1" applyBorder="1" applyAlignment="1">
      <alignment horizontal="center" vertical="center" wrapText="1"/>
    </xf>
    <xf numFmtId="165" fontId="38" fillId="0" borderId="0" xfId="0" applyNumberFormat="1" applyFont="1" applyAlignment="1">
      <alignment horizontal="center" vertical="center"/>
    </xf>
    <xf numFmtId="49" fontId="0" fillId="0" borderId="13" xfId="0" applyNumberFormat="1" applyBorder="1" applyAlignment="1">
      <alignment horizontal="right" vertical="center"/>
    </xf>
    <xf numFmtId="49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0" fontId="33" fillId="0" borderId="2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54" xfId="0" applyBorder="1" applyAlignment="1">
      <alignment vertical="center" wrapText="1"/>
    </xf>
    <xf numFmtId="0" fontId="42" fillId="0" borderId="30" xfId="0" applyFont="1" applyBorder="1" applyAlignment="1">
      <alignment horizontal="center" vertical="center"/>
    </xf>
    <xf numFmtId="165" fontId="42" fillId="0" borderId="55" xfId="0" applyNumberFormat="1" applyFont="1" applyBorder="1" applyAlignment="1">
      <alignment horizontal="center" vertical="center"/>
    </xf>
    <xf numFmtId="0" fontId="33" fillId="0" borderId="31" xfId="0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42" fillId="0" borderId="1" xfId="0" applyFont="1" applyBorder="1" applyAlignment="1">
      <alignment horizontal="center" vertical="center"/>
    </xf>
    <xf numFmtId="165" fontId="42" fillId="0" borderId="56" xfId="0" applyNumberFormat="1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 wrapText="1"/>
    </xf>
    <xf numFmtId="49" fontId="33" fillId="0" borderId="57" xfId="0" applyNumberFormat="1" applyFont="1" applyBorder="1" applyAlignment="1">
      <alignment horizontal="center" vertical="center"/>
    </xf>
    <xf numFmtId="0" fontId="33" fillId="0" borderId="58" xfId="0" applyFont="1" applyBorder="1" applyAlignment="1">
      <alignment vertical="center" wrapText="1"/>
    </xf>
    <xf numFmtId="0" fontId="0" fillId="0" borderId="58" xfId="0" applyBorder="1" applyAlignment="1">
      <alignment vertical="center"/>
    </xf>
    <xf numFmtId="165" fontId="33" fillId="0" borderId="59" xfId="0" applyNumberFormat="1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49" fontId="0" fillId="0" borderId="5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58" xfId="0" applyFont="1" applyBorder="1" applyAlignment="1">
      <alignment vertical="center"/>
    </xf>
    <xf numFmtId="165" fontId="33" fillId="0" borderId="58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 shrinkToFit="1"/>
    </xf>
    <xf numFmtId="0" fontId="42" fillId="0" borderId="30" xfId="4" applyFont="1" applyBorder="1" applyAlignment="1">
      <alignment vertical="center" wrapText="1"/>
    </xf>
    <xf numFmtId="165" fontId="42" fillId="0" borderId="56" xfId="0" applyNumberFormat="1" applyFont="1" applyBorder="1" applyAlignment="1">
      <alignment horizontal="center" vertical="center" wrapText="1" shrinkToFit="1"/>
    </xf>
    <xf numFmtId="0" fontId="42" fillId="0" borderId="30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32" fillId="0" borderId="13" xfId="0" applyNumberFormat="1" applyFont="1" applyBorder="1" applyAlignment="1">
      <alignment horizontal="center" vertical="center"/>
    </xf>
    <xf numFmtId="0" fontId="45" fillId="0" borderId="58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165" fontId="33" fillId="0" borderId="43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42" fillId="0" borderId="1" xfId="4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16" fillId="0" borderId="1" xfId="0" applyFont="1" applyFill="1" applyBorder="1"/>
    <xf numFmtId="49" fontId="16" fillId="0" borderId="2" xfId="0" applyNumberFormat="1" applyFont="1" applyFill="1" applyBorder="1"/>
    <xf numFmtId="0" fontId="16" fillId="0" borderId="3" xfId="0" applyFont="1" applyFill="1" applyBorder="1"/>
    <xf numFmtId="49" fontId="0" fillId="0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49" fontId="0" fillId="0" borderId="4" xfId="0" applyNumberFormat="1" applyFill="1" applyBorder="1"/>
    <xf numFmtId="0" fontId="0" fillId="0" borderId="5" xfId="0" applyFill="1" applyBorder="1"/>
    <xf numFmtId="0" fontId="0" fillId="0" borderId="6" xfId="0" applyFill="1" applyBorder="1"/>
    <xf numFmtId="1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1" fontId="0" fillId="0" borderId="3" xfId="0" applyNumberFormat="1" applyFill="1" applyBorder="1" applyAlignment="1">
      <alignment horizontal="center" vertical="center"/>
    </xf>
    <xf numFmtId="164" fontId="10" fillId="0" borderId="3" xfId="1" applyFont="1" applyFill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/>
    </xf>
    <xf numFmtId="0" fontId="0" fillId="0" borderId="1" xfId="0" applyFont="1" applyFill="1" applyBorder="1"/>
    <xf numFmtId="0" fontId="29" fillId="0" borderId="1" xfId="0" applyFont="1" applyFill="1" applyBorder="1"/>
    <xf numFmtId="0" fontId="29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2" fillId="0" borderId="0" xfId="0" applyFont="1" applyFill="1"/>
    <xf numFmtId="0" fontId="0" fillId="0" borderId="1" xfId="0" applyFill="1" applyBorder="1"/>
    <xf numFmtId="0" fontId="10" fillId="0" borderId="0" xfId="0" applyFont="1" applyFill="1" applyBorder="1" applyAlignment="1">
      <alignment wrapText="1"/>
    </xf>
    <xf numFmtId="49" fontId="0" fillId="0" borderId="2" xfId="0" applyNumberFormat="1" applyFill="1" applyBorder="1"/>
    <xf numFmtId="0" fontId="0" fillId="0" borderId="3" xfId="0" applyFill="1" applyBorder="1"/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0" fillId="0" borderId="0" xfId="0" applyFill="1"/>
    <xf numFmtId="49" fontId="0" fillId="0" borderId="13" xfId="0" applyNumberFormat="1" applyFill="1" applyBorder="1" applyAlignment="1">
      <alignment horizontal="center" vertical="center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/>
    </xf>
    <xf numFmtId="2" fontId="33" fillId="0" borderId="0" xfId="0" applyNumberFormat="1" applyFont="1" applyFill="1" applyAlignment="1">
      <alignment horizontal="center" vertical="center"/>
    </xf>
    <xf numFmtId="0" fontId="33" fillId="0" borderId="64" xfId="3" applyFont="1" applyBorder="1" applyAlignment="1">
      <alignment horizontal="center"/>
    </xf>
    <xf numFmtId="167" fontId="33" fillId="0" borderId="65" xfId="3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45" fillId="0" borderId="40" xfId="0" applyFont="1" applyBorder="1" applyAlignment="1">
      <alignment wrapText="1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49" fontId="9" fillId="4" borderId="25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top"/>
    </xf>
    <xf numFmtId="0" fontId="0" fillId="4" borderId="8" xfId="0" applyFill="1" applyBorder="1" applyAlignment="1">
      <alignment horizontal="center" vertical="center"/>
    </xf>
    <xf numFmtId="165" fontId="0" fillId="4" borderId="19" xfId="0" applyNumberFormat="1" applyFill="1" applyBorder="1" applyAlignment="1">
      <alignment horizontal="center" vertical="center"/>
    </xf>
    <xf numFmtId="0" fontId="9" fillId="4" borderId="8" xfId="0" applyFont="1" applyFill="1" applyBorder="1"/>
    <xf numFmtId="0" fontId="10" fillId="4" borderId="8" xfId="0" applyFont="1" applyFill="1" applyBorder="1" applyAlignment="1">
      <alignment horizontal="center" vertical="center"/>
    </xf>
    <xf numFmtId="165" fontId="10" fillId="4" borderId="19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4" fontId="10" fillId="4" borderId="3" xfId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wrapText="1"/>
    </xf>
    <xf numFmtId="49" fontId="16" fillId="4" borderId="2" xfId="0" applyNumberFormat="1" applyFont="1" applyFill="1" applyBorder="1"/>
    <xf numFmtId="0" fontId="16" fillId="4" borderId="1" xfId="0" applyFont="1" applyFill="1" applyBorder="1"/>
    <xf numFmtId="0" fontId="16" fillId="4" borderId="3" xfId="0" applyFont="1" applyFill="1" applyBorder="1"/>
    <xf numFmtId="0" fontId="16" fillId="4" borderId="2" xfId="0" applyFont="1" applyFill="1" applyBorder="1"/>
    <xf numFmtId="0" fontId="0" fillId="4" borderId="26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/>
    </xf>
    <xf numFmtId="0" fontId="42" fillId="4" borderId="27" xfId="0" applyFont="1" applyFill="1" applyBorder="1" applyAlignment="1">
      <alignment horizontal="center" vertical="center" wrapText="1"/>
    </xf>
    <xf numFmtId="0" fontId="42" fillId="4" borderId="24" xfId="0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wrapText="1"/>
    </xf>
    <xf numFmtId="2" fontId="38" fillId="0" borderId="64" xfId="3" applyNumberFormat="1" applyFont="1" applyBorder="1" applyAlignment="1">
      <alignment horizontal="center" vertical="center"/>
    </xf>
    <xf numFmtId="0" fontId="30" fillId="0" borderId="12" xfId="3" applyBorder="1" applyAlignment="1">
      <alignment horizontal="center" vertical="center"/>
    </xf>
    <xf numFmtId="0" fontId="33" fillId="0" borderId="28" xfId="3" applyFont="1" applyBorder="1" applyAlignment="1">
      <alignment horizontal="center" vertical="center"/>
    </xf>
    <xf numFmtId="0" fontId="30" fillId="0" borderId="44" xfId="3" applyBorder="1"/>
    <xf numFmtId="167" fontId="33" fillId="0" borderId="17" xfId="3" applyNumberFormat="1" applyFont="1" applyBorder="1" applyAlignment="1">
      <alignment horizontal="center" vertical="center"/>
    </xf>
    <xf numFmtId="0" fontId="30" fillId="0" borderId="45" xfId="3" applyBorder="1"/>
    <xf numFmtId="2" fontId="33" fillId="0" borderId="28" xfId="3" applyNumberFormat="1" applyFont="1" applyBorder="1" applyAlignment="1">
      <alignment horizontal="center" vertical="center"/>
    </xf>
    <xf numFmtId="0" fontId="30" fillId="0" borderId="25" xfId="3" applyBorder="1"/>
    <xf numFmtId="0" fontId="30" fillId="0" borderId="19" xfId="3" applyBorder="1"/>
    <xf numFmtId="0" fontId="30" fillId="0" borderId="25" xfId="3" applyBorder="1" applyAlignment="1">
      <alignment horizontal="center" vertical="center"/>
    </xf>
    <xf numFmtId="2" fontId="33" fillId="0" borderId="42" xfId="3" applyNumberFormat="1" applyFont="1" applyBorder="1" applyAlignment="1">
      <alignment horizontal="center" vertical="center"/>
    </xf>
    <xf numFmtId="0" fontId="30" fillId="0" borderId="41" xfId="3" applyBorder="1"/>
    <xf numFmtId="2" fontId="33" fillId="0" borderId="7" xfId="3" applyNumberFormat="1" applyFont="1" applyBorder="1" applyAlignment="1">
      <alignment horizontal="center" vertical="center"/>
    </xf>
    <xf numFmtId="0" fontId="30" fillId="0" borderId="8" xfId="3" applyBorder="1"/>
    <xf numFmtId="2" fontId="40" fillId="0" borderId="64" xfId="3" applyNumberFormat="1" applyFont="1" applyBorder="1" applyAlignment="1">
      <alignment horizontal="center" vertical="center"/>
    </xf>
    <xf numFmtId="2" fontId="30" fillId="0" borderId="12" xfId="3" applyNumberFormat="1" applyBorder="1" applyAlignment="1">
      <alignment horizontal="center" vertical="center"/>
    </xf>
    <xf numFmtId="0" fontId="30" fillId="0" borderId="41" xfId="3" applyBorder="1" applyAlignment="1">
      <alignment horizontal="center" vertical="center"/>
    </xf>
    <xf numFmtId="0" fontId="30" fillId="0" borderId="8" xfId="3" applyBorder="1" applyAlignment="1">
      <alignment horizontal="center" vertical="center"/>
    </xf>
    <xf numFmtId="2" fontId="38" fillId="0" borderId="3" xfId="3" applyNumberFormat="1" applyFont="1" applyBorder="1" applyAlignment="1">
      <alignment horizontal="center" vertical="center"/>
    </xf>
    <xf numFmtId="0" fontId="39" fillId="0" borderId="6" xfId="3" applyFont="1" applyBorder="1" applyAlignment="1">
      <alignment horizontal="center" vertical="center"/>
    </xf>
    <xf numFmtId="2" fontId="38" fillId="0" borderId="17" xfId="3" applyNumberFormat="1" applyFont="1" applyBorder="1" applyAlignment="1">
      <alignment horizontal="center" vertical="center"/>
    </xf>
    <xf numFmtId="2" fontId="38" fillId="0" borderId="18" xfId="3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9" fillId="0" borderId="3" xfId="3" applyFont="1" applyBorder="1" applyAlignment="1">
      <alignment horizontal="center" vertical="center"/>
    </xf>
    <xf numFmtId="0" fontId="30" fillId="0" borderId="28" xfId="3" applyBorder="1"/>
    <xf numFmtId="0" fontId="0" fillId="0" borderId="8" xfId="0" applyBorder="1" applyAlignment="1">
      <alignment horizontal="center" vertical="center"/>
    </xf>
    <xf numFmtId="0" fontId="30" fillId="0" borderId="19" xfId="3" applyBorder="1" applyAlignment="1">
      <alignment horizontal="center" vertical="center"/>
    </xf>
    <xf numFmtId="2" fontId="38" fillId="0" borderId="67" xfId="3" applyNumberFormat="1" applyFont="1" applyBorder="1" applyAlignment="1">
      <alignment horizontal="center" vertical="center"/>
    </xf>
    <xf numFmtId="2" fontId="33" fillId="0" borderId="43" xfId="3" applyNumberFormat="1" applyFont="1" applyBorder="1" applyAlignment="1">
      <alignment horizontal="center" vertical="center"/>
    </xf>
    <xf numFmtId="2" fontId="33" fillId="0" borderId="66" xfId="3" applyNumberFormat="1" applyFont="1" applyBorder="1" applyAlignment="1">
      <alignment horizontal="center" vertical="center"/>
    </xf>
    <xf numFmtId="0" fontId="32" fillId="0" borderId="60" xfId="3" applyFont="1" applyBorder="1" applyAlignment="1">
      <alignment horizontal="center" vertical="center" wrapText="1"/>
    </xf>
    <xf numFmtId="0" fontId="32" fillId="0" borderId="16" xfId="3" applyFont="1" applyBorder="1" applyAlignment="1">
      <alignment horizontal="center" vertical="center" wrapText="1"/>
    </xf>
    <xf numFmtId="0" fontId="30" fillId="0" borderId="13" xfId="3" applyBorder="1" applyAlignment="1">
      <alignment wrapText="1"/>
    </xf>
    <xf numFmtId="0" fontId="30" fillId="0" borderId="20" xfId="3" applyBorder="1" applyAlignment="1">
      <alignment wrapText="1"/>
    </xf>
    <xf numFmtId="0" fontId="30" fillId="0" borderId="21" xfId="3" applyBorder="1" applyAlignment="1">
      <alignment wrapText="1"/>
    </xf>
    <xf numFmtId="0" fontId="30" fillId="0" borderId="23" xfId="3" applyBorder="1" applyAlignment="1">
      <alignment wrapText="1"/>
    </xf>
    <xf numFmtId="0" fontId="33" fillId="0" borderId="16" xfId="3" applyFont="1" applyBorder="1" applyAlignment="1">
      <alignment horizontal="center" textRotation="90" wrapText="1"/>
    </xf>
    <xf numFmtId="0" fontId="34" fillId="0" borderId="20" xfId="3" applyFont="1" applyBorder="1" applyAlignment="1">
      <alignment horizontal="center"/>
    </xf>
    <xf numFmtId="0" fontId="32" fillId="0" borderId="61" xfId="3" applyFont="1" applyBorder="1" applyAlignment="1">
      <alignment horizontal="left"/>
    </xf>
    <xf numFmtId="0" fontId="30" fillId="0" borderId="62" xfId="3" applyBorder="1" applyAlignment="1">
      <alignment horizontal="left"/>
    </xf>
    <xf numFmtId="0" fontId="30" fillId="0" borderId="63" xfId="3" applyBorder="1" applyAlignment="1">
      <alignment horizontal="left"/>
    </xf>
    <xf numFmtId="0" fontId="33" fillId="0" borderId="32" xfId="3" applyFont="1" applyBorder="1" applyAlignment="1">
      <alignment horizontal="left" vertical="center" wrapText="1"/>
    </xf>
    <xf numFmtId="0" fontId="34" fillId="0" borderId="33" xfId="3" applyFont="1" applyBorder="1" applyAlignment="1">
      <alignment horizontal="left" vertical="center" wrapText="1"/>
    </xf>
    <xf numFmtId="0" fontId="34" fillId="0" borderId="34" xfId="3" applyFont="1" applyBorder="1" applyAlignment="1">
      <alignment horizontal="left" vertical="center" wrapText="1"/>
    </xf>
    <xf numFmtId="0" fontId="34" fillId="0" borderId="32" xfId="3" applyFont="1" applyBorder="1" applyAlignment="1">
      <alignment horizontal="left" vertical="center" wrapText="1"/>
    </xf>
    <xf numFmtId="2" fontId="33" fillId="0" borderId="64" xfId="3" applyNumberFormat="1" applyFont="1" applyBorder="1" applyAlignment="1">
      <alignment horizontal="center" vertical="center"/>
    </xf>
    <xf numFmtId="2" fontId="38" fillId="0" borderId="65" xfId="3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2" fontId="19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textRotation="90" wrapText="1"/>
    </xf>
    <xf numFmtId="0" fontId="17" fillId="0" borderId="11" xfId="0" applyFont="1" applyBorder="1" applyAlignment="1">
      <alignment horizontal="center" textRotation="90" wrapText="1"/>
    </xf>
    <xf numFmtId="0" fontId="17" fillId="0" borderId="10" xfId="0" applyFont="1" applyBorder="1" applyAlignment="1">
      <alignment horizontal="center"/>
    </xf>
    <xf numFmtId="2" fontId="19" fillId="0" borderId="17" xfId="0" applyNumberFormat="1" applyFont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 vertical="center"/>
    </xf>
    <xf numFmtId="2" fontId="19" fillId="0" borderId="19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/>
    </xf>
    <xf numFmtId="2" fontId="21" fillId="0" borderId="12" xfId="0" applyNumberFormat="1" applyFont="1" applyBorder="1" applyAlignment="1">
      <alignment horizontal="center"/>
    </xf>
    <xf numFmtId="2" fontId="24" fillId="0" borderId="1" xfId="0" applyNumberFormat="1" applyFont="1" applyBorder="1" applyAlignment="1">
      <alignment horizontal="center"/>
    </xf>
    <xf numFmtId="2" fontId="24" fillId="0" borderId="17" xfId="0" applyNumberFormat="1" applyFont="1" applyBorder="1" applyAlignment="1">
      <alignment horizontal="center" vertical="center"/>
    </xf>
    <xf numFmtId="2" fontId="24" fillId="0" borderId="19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7" xfId="0" applyNumberFormat="1" applyFont="1" applyBorder="1" applyAlignment="1">
      <alignment horizontal="center" vertical="center"/>
    </xf>
    <xf numFmtId="2" fontId="24" fillId="0" borderId="8" xfId="0" applyNumberFormat="1" applyFont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16" fillId="0" borderId="0" xfId="0" applyNumberFormat="1" applyFont="1" applyAlignment="1">
      <alignment horizontal="left"/>
    </xf>
    <xf numFmtId="2" fontId="16" fillId="4" borderId="0" xfId="0" applyNumberFormat="1" applyFont="1" applyFill="1" applyAlignment="1">
      <alignment horizontal="left"/>
    </xf>
    <xf numFmtId="0" fontId="16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4" borderId="0" xfId="0" applyFont="1" applyFill="1" applyAlignment="1">
      <alignment wrapText="1"/>
    </xf>
    <xf numFmtId="0" fontId="16" fillId="4" borderId="0" xfId="0" applyFont="1" applyFill="1" applyAlignment="1">
      <alignment horizontal="left" wrapText="1"/>
    </xf>
    <xf numFmtId="49" fontId="16" fillId="4" borderId="0" xfId="0" applyNumberFormat="1" applyFont="1" applyFill="1"/>
    <xf numFmtId="0" fontId="0" fillId="4" borderId="0" xfId="0" applyFill="1"/>
    <xf numFmtId="2" fontId="16" fillId="4" borderId="0" xfId="0" applyNumberFormat="1" applyFont="1" applyFill="1"/>
    <xf numFmtId="0" fontId="0" fillId="3" borderId="0" xfId="0" applyFill="1"/>
    <xf numFmtId="0" fontId="16" fillId="3" borderId="0" xfId="0" applyFont="1" applyFill="1" applyAlignment="1">
      <alignment horizontal="left" wrapText="1"/>
    </xf>
    <xf numFmtId="0" fontId="16" fillId="0" borderId="0" xfId="0" applyFont="1" applyAlignment="1"/>
    <xf numFmtId="0" fontId="0" fillId="0" borderId="0" xfId="0" applyAlignment="1"/>
    <xf numFmtId="0" fontId="1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6" fillId="4" borderId="0" xfId="0" applyFont="1" applyFill="1" applyAlignment="1"/>
    <xf numFmtId="0" fontId="16" fillId="4" borderId="0" xfId="0" applyFont="1" applyFill="1"/>
    <xf numFmtId="165" fontId="0" fillId="0" borderId="0" xfId="0" applyNumberFormat="1" applyAlignment="1">
      <alignment horizontal="left"/>
    </xf>
    <xf numFmtId="165" fontId="16" fillId="4" borderId="0" xfId="0" applyNumberFormat="1" applyFont="1" applyFill="1" applyAlignment="1">
      <alignment horizontal="left"/>
    </xf>
    <xf numFmtId="0" fontId="0" fillId="4" borderId="0" xfId="0" applyFill="1" applyAlignment="1">
      <alignment horizontal="left" wrapText="1"/>
    </xf>
  </cellXfs>
  <cellStyles count="5">
    <cellStyle name="Čárka" xfId="1" builtinId="3"/>
    <cellStyle name="Normální" xfId="0" builtinId="0"/>
    <cellStyle name="Normální 2" xfId="2" xr:uid="{00000000-0005-0000-0000-000002000000}"/>
    <cellStyle name="normální_Kubatury_cesta_vzor" xfId="3" xr:uid="{7170E9D7-0C6A-45F8-B7C3-873B94B6F4AD}"/>
    <cellStyle name="normální_POL.XLS" xfId="4" xr:uid="{A54225BC-4D33-415D-AE8B-1F9B82793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22"/>
  <sheetViews>
    <sheetView tabSelected="1" topLeftCell="A296" zoomScale="130" zoomScaleNormal="130" workbookViewId="0">
      <selection activeCell="F361" sqref="F361"/>
    </sheetView>
  </sheetViews>
  <sheetFormatPr defaultRowHeight="15" x14ac:dyDescent="0.25"/>
  <cols>
    <col min="1" max="1" width="2.85546875" customWidth="1"/>
    <col min="3" max="3" width="47.28515625" customWidth="1"/>
    <col min="4" max="4" width="11" customWidth="1"/>
    <col min="5" max="5" width="15" customWidth="1"/>
  </cols>
  <sheetData>
    <row r="2" spans="2:5" ht="15.75" customHeight="1" x14ac:dyDescent="0.25">
      <c r="B2" s="2" t="s">
        <v>31</v>
      </c>
      <c r="C2" s="45"/>
      <c r="D2" s="45"/>
      <c r="E2" s="45"/>
    </row>
    <row r="3" spans="2:5" s="1" customFormat="1" ht="15.75" customHeight="1" x14ac:dyDescent="0.25">
      <c r="B3" s="2" t="s">
        <v>32</v>
      </c>
      <c r="C3" s="45"/>
      <c r="D3" s="45"/>
      <c r="E3" s="45"/>
    </row>
    <row r="4" spans="2:5" ht="18" x14ac:dyDescent="0.25">
      <c r="B4" s="3" t="s">
        <v>0</v>
      </c>
      <c r="C4" s="1"/>
      <c r="D4" s="1"/>
      <c r="E4" s="1"/>
    </row>
    <row r="5" spans="2:5" ht="15.75" x14ac:dyDescent="0.25">
      <c r="B5" s="4" t="s">
        <v>30</v>
      </c>
      <c r="C5" s="1"/>
      <c r="D5" s="1"/>
      <c r="E5" s="1"/>
    </row>
    <row r="6" spans="2:5" x14ac:dyDescent="0.25">
      <c r="B6" s="5"/>
      <c r="C6" s="1"/>
      <c r="D6" s="1"/>
      <c r="E6" s="1"/>
    </row>
    <row r="7" spans="2:5" x14ac:dyDescent="0.25">
      <c r="B7" s="6" t="s">
        <v>1</v>
      </c>
      <c r="C7" s="1"/>
      <c r="D7" s="1"/>
      <c r="E7" s="1"/>
    </row>
    <row r="8" spans="2:5" x14ac:dyDescent="0.25">
      <c r="B8" s="6" t="s">
        <v>2</v>
      </c>
      <c r="C8" s="1"/>
      <c r="D8" s="1"/>
      <c r="E8" s="1"/>
    </row>
    <row r="9" spans="2:5" x14ac:dyDescent="0.25">
      <c r="B9" s="7" t="s">
        <v>284</v>
      </c>
      <c r="C9" s="1"/>
      <c r="D9" s="1"/>
      <c r="E9" s="1"/>
    </row>
    <row r="10" spans="2:5" s="1" customFormat="1" ht="18.75" x14ac:dyDescent="0.3">
      <c r="B10" s="46" t="s">
        <v>33</v>
      </c>
      <c r="C10" s="47" t="s">
        <v>34</v>
      </c>
    </row>
    <row r="11" spans="2:5" ht="19.5" thickBot="1" x14ac:dyDescent="0.35">
      <c r="B11" s="47"/>
      <c r="C11" s="47"/>
      <c r="D11" s="1"/>
      <c r="E11" s="1"/>
    </row>
    <row r="12" spans="2:5" ht="15.75" thickBot="1" x14ac:dyDescent="0.3">
      <c r="B12" s="222" t="s">
        <v>3</v>
      </c>
      <c r="C12" s="223" t="s">
        <v>4</v>
      </c>
      <c r="D12" s="223" t="s">
        <v>5</v>
      </c>
      <c r="E12" s="224" t="s">
        <v>29</v>
      </c>
    </row>
    <row r="13" spans="2:5" s="1" customFormat="1" x14ac:dyDescent="0.25">
      <c r="B13" s="225">
        <v>1</v>
      </c>
      <c r="C13" s="226" t="s">
        <v>37</v>
      </c>
      <c r="D13" s="227"/>
      <c r="E13" s="228"/>
    </row>
    <row r="14" spans="2:5" s="1" customFormat="1" ht="17.25" x14ac:dyDescent="0.25">
      <c r="B14" s="59" t="s">
        <v>38</v>
      </c>
      <c r="C14" s="191" t="s">
        <v>42</v>
      </c>
      <c r="D14" s="182" t="s">
        <v>59</v>
      </c>
      <c r="E14" s="183">
        <f>7.8*0.35+0.4*1.4*2.25+5.2*1.15*0.35+12*3.45+18*0.5+6.7*2.25+0.55*9*1.8</f>
        <v>80.468000000000004</v>
      </c>
    </row>
    <row r="15" spans="2:5" s="1" customFormat="1" x14ac:dyDescent="0.25">
      <c r="B15" s="59"/>
      <c r="C15" s="191" t="s">
        <v>40</v>
      </c>
      <c r="D15" s="182"/>
      <c r="E15" s="183"/>
    </row>
    <row r="16" spans="2:5" s="1" customFormat="1" x14ac:dyDescent="0.25">
      <c r="B16" s="59"/>
      <c r="C16" s="191" t="s">
        <v>62</v>
      </c>
      <c r="D16" s="182"/>
      <c r="E16" s="183"/>
    </row>
    <row r="17" spans="2:5" s="1" customFormat="1" x14ac:dyDescent="0.25">
      <c r="B17" s="59"/>
      <c r="C17" s="191" t="s">
        <v>39</v>
      </c>
      <c r="D17" s="182"/>
      <c r="E17" s="183"/>
    </row>
    <row r="18" spans="2:5" s="1" customFormat="1" x14ac:dyDescent="0.25">
      <c r="B18" s="59"/>
      <c r="C18" s="191" t="s">
        <v>63</v>
      </c>
      <c r="D18" s="182"/>
      <c r="E18" s="183"/>
    </row>
    <row r="19" spans="2:5" s="1" customFormat="1" x14ac:dyDescent="0.25">
      <c r="B19" s="59"/>
      <c r="C19" s="191" t="s">
        <v>44</v>
      </c>
      <c r="D19" s="182"/>
      <c r="E19" s="183"/>
    </row>
    <row r="20" spans="2:5" s="1" customFormat="1" x14ac:dyDescent="0.25">
      <c r="B20" s="59"/>
      <c r="C20" s="191" t="s">
        <v>61</v>
      </c>
      <c r="D20" s="182"/>
      <c r="E20" s="183"/>
    </row>
    <row r="21" spans="2:5" s="1" customFormat="1" x14ac:dyDescent="0.25">
      <c r="B21" s="59"/>
      <c r="C21" s="191" t="s">
        <v>41</v>
      </c>
      <c r="D21" s="182"/>
      <c r="E21" s="183"/>
    </row>
    <row r="22" spans="2:5" s="1" customFormat="1" x14ac:dyDescent="0.25">
      <c r="B22" s="59"/>
      <c r="C22" s="191" t="s">
        <v>64</v>
      </c>
      <c r="D22" s="182"/>
      <c r="E22" s="183"/>
    </row>
    <row r="23" spans="2:5" s="1" customFormat="1" x14ac:dyDescent="0.25">
      <c r="B23" s="59"/>
      <c r="C23" s="191" t="s">
        <v>43</v>
      </c>
      <c r="D23" s="182"/>
      <c r="E23" s="183"/>
    </row>
    <row r="24" spans="2:5" s="1" customFormat="1" x14ac:dyDescent="0.25">
      <c r="B24" s="59"/>
      <c r="C24" s="191" t="s">
        <v>65</v>
      </c>
      <c r="D24" s="182"/>
      <c r="E24" s="183"/>
    </row>
    <row r="25" spans="2:5" s="1" customFormat="1" ht="17.25" x14ac:dyDescent="0.25">
      <c r="B25" s="59" t="s">
        <v>45</v>
      </c>
      <c r="C25" s="191" t="s">
        <v>66</v>
      </c>
      <c r="D25" s="182" t="s">
        <v>59</v>
      </c>
      <c r="E25" s="183">
        <f>75*0.6+1*1*12+2*0.5*6.8+2*0.5*6.8+0.8*0.8*6.8</f>
        <v>74.951999999999998</v>
      </c>
    </row>
    <row r="26" spans="2:5" s="1" customFormat="1" x14ac:dyDescent="0.25">
      <c r="B26" s="59"/>
      <c r="C26" s="191" t="s">
        <v>67</v>
      </c>
      <c r="D26" s="182"/>
      <c r="E26" s="183"/>
    </row>
    <row r="27" spans="2:5" s="1" customFormat="1" x14ac:dyDescent="0.25">
      <c r="B27" s="59"/>
      <c r="C27" s="191"/>
      <c r="D27" s="182"/>
      <c r="E27" s="183"/>
    </row>
    <row r="28" spans="2:5" s="1" customFormat="1" ht="17.25" x14ac:dyDescent="0.25">
      <c r="B28" s="59" t="s">
        <v>46</v>
      </c>
      <c r="C28" s="191" t="s">
        <v>79</v>
      </c>
      <c r="D28" s="182" t="s">
        <v>59</v>
      </c>
      <c r="E28" s="183">
        <f>6*0.2*0.3*1</f>
        <v>0.36000000000000004</v>
      </c>
    </row>
    <row r="29" spans="2:5" s="1" customFormat="1" x14ac:dyDescent="0.25">
      <c r="B29" s="59"/>
      <c r="C29" s="191" t="s">
        <v>80</v>
      </c>
      <c r="D29" s="182"/>
      <c r="E29" s="183"/>
    </row>
    <row r="30" spans="2:5" s="1" customFormat="1" ht="17.25" x14ac:dyDescent="0.25">
      <c r="B30" s="59" t="s">
        <v>47</v>
      </c>
      <c r="C30" s="191" t="s">
        <v>49</v>
      </c>
      <c r="D30" s="182" t="s">
        <v>59</v>
      </c>
      <c r="E30" s="183">
        <f>2.1*0.2*(48+91)</f>
        <v>58.38</v>
      </c>
    </row>
    <row r="31" spans="2:5" s="1" customFormat="1" x14ac:dyDescent="0.25">
      <c r="B31" s="59"/>
      <c r="C31" s="191" t="s">
        <v>60</v>
      </c>
      <c r="D31" s="182"/>
      <c r="E31" s="183"/>
    </row>
    <row r="32" spans="2:5" s="1" customFormat="1" ht="17.25" x14ac:dyDescent="0.25">
      <c r="B32" s="59" t="s">
        <v>69</v>
      </c>
      <c r="C32" s="191" t="s">
        <v>51</v>
      </c>
      <c r="D32" s="182" t="s">
        <v>59</v>
      </c>
      <c r="E32" s="183">
        <f>41*0.3+(6.4+5.5)*0.3*5.4+5.53*0.45+2*0.8*0.45*3.25</f>
        <v>36.406500000000001</v>
      </c>
    </row>
    <row r="33" spans="2:5" s="1" customFormat="1" x14ac:dyDescent="0.25">
      <c r="B33" s="59"/>
      <c r="C33" s="191" t="s">
        <v>529</v>
      </c>
      <c r="D33" s="182"/>
      <c r="E33" s="183"/>
    </row>
    <row r="34" spans="2:5" s="1" customFormat="1" x14ac:dyDescent="0.25">
      <c r="B34" s="59"/>
      <c r="C34" s="191"/>
      <c r="D34" s="182"/>
      <c r="E34" s="183"/>
    </row>
    <row r="35" spans="2:5" s="1" customFormat="1" ht="17.25" x14ac:dyDescent="0.25">
      <c r="B35" s="59" t="s">
        <v>48</v>
      </c>
      <c r="C35" s="191" t="s">
        <v>53</v>
      </c>
      <c r="D35" s="182" t="s">
        <v>59</v>
      </c>
      <c r="E35" s="183">
        <f>31*1*1.65+28*0.8*1.5+90.3*2.7*1+92*1.9*0.8</f>
        <v>468.4</v>
      </c>
    </row>
    <row r="36" spans="2:5" s="1" customFormat="1" x14ac:dyDescent="0.25">
      <c r="B36" s="59"/>
      <c r="C36" s="191" t="s">
        <v>54</v>
      </c>
      <c r="D36" s="182"/>
      <c r="E36" s="183"/>
    </row>
    <row r="37" spans="2:5" s="1" customFormat="1" x14ac:dyDescent="0.25">
      <c r="B37" s="59"/>
      <c r="C37" s="191" t="s">
        <v>89</v>
      </c>
      <c r="D37" s="182"/>
      <c r="E37" s="183"/>
    </row>
    <row r="38" spans="2:5" s="1" customFormat="1" x14ac:dyDescent="0.25">
      <c r="B38" s="59"/>
      <c r="C38" s="191" t="s">
        <v>55</v>
      </c>
      <c r="D38" s="182"/>
      <c r="E38" s="183"/>
    </row>
    <row r="39" spans="2:5" s="1" customFormat="1" x14ac:dyDescent="0.25">
      <c r="B39" s="59"/>
      <c r="C39" s="191" t="s">
        <v>90</v>
      </c>
      <c r="D39" s="182"/>
      <c r="E39" s="183"/>
    </row>
    <row r="40" spans="2:5" s="1" customFormat="1" x14ac:dyDescent="0.25">
      <c r="B40" s="59"/>
      <c r="C40" s="191"/>
      <c r="D40" s="182"/>
      <c r="E40" s="183"/>
    </row>
    <row r="41" spans="2:5" s="1" customFormat="1" ht="30" x14ac:dyDescent="0.25">
      <c r="B41" s="59" t="s">
        <v>50</v>
      </c>
      <c r="C41" s="192" t="s">
        <v>247</v>
      </c>
      <c r="D41" s="182" t="s">
        <v>76</v>
      </c>
      <c r="E41" s="183">
        <v>30</v>
      </c>
    </row>
    <row r="42" spans="2:5" s="1" customFormat="1" x14ac:dyDescent="0.25">
      <c r="B42" s="59"/>
      <c r="C42" s="191"/>
      <c r="D42" s="182"/>
      <c r="E42" s="183"/>
    </row>
    <row r="43" spans="2:5" s="1" customFormat="1" ht="30" customHeight="1" x14ac:dyDescent="0.25">
      <c r="B43" s="59" t="s">
        <v>52</v>
      </c>
      <c r="C43" s="192" t="s">
        <v>246</v>
      </c>
      <c r="D43" s="182" t="s">
        <v>76</v>
      </c>
      <c r="E43" s="183">
        <v>10</v>
      </c>
    </row>
    <row r="44" spans="2:5" s="1" customFormat="1" x14ac:dyDescent="0.25">
      <c r="B44" s="59"/>
      <c r="C44" s="191"/>
      <c r="D44" s="182"/>
      <c r="E44" s="183"/>
    </row>
    <row r="45" spans="2:5" s="1" customFormat="1" x14ac:dyDescent="0.25">
      <c r="B45" s="59" t="s">
        <v>56</v>
      </c>
      <c r="C45" s="191" t="s">
        <v>74</v>
      </c>
      <c r="D45" s="182" t="s">
        <v>68</v>
      </c>
      <c r="E45" s="183">
        <v>100</v>
      </c>
    </row>
    <row r="46" spans="2:5" s="1" customFormat="1" x14ac:dyDescent="0.25">
      <c r="B46" s="59"/>
      <c r="C46" s="191"/>
      <c r="D46" s="182"/>
      <c r="E46" s="183"/>
    </row>
    <row r="47" spans="2:5" s="1" customFormat="1" x14ac:dyDescent="0.25">
      <c r="B47" s="59" t="s">
        <v>57</v>
      </c>
      <c r="C47" s="191" t="s">
        <v>73</v>
      </c>
      <c r="D47" s="182" t="s">
        <v>68</v>
      </c>
      <c r="E47" s="183">
        <f>18.8*(2*5.2+4*2.8)+600</f>
        <v>1006.08</v>
      </c>
    </row>
    <row r="48" spans="2:5" s="1" customFormat="1" x14ac:dyDescent="0.25">
      <c r="B48" s="59"/>
      <c r="C48" s="191" t="s">
        <v>81</v>
      </c>
      <c r="D48" s="182"/>
      <c r="E48" s="183"/>
    </row>
    <row r="49" spans="2:11" s="1" customFormat="1" x14ac:dyDescent="0.25">
      <c r="B49" s="59"/>
      <c r="C49" s="191"/>
      <c r="D49" s="182"/>
      <c r="E49" s="183"/>
    </row>
    <row r="50" spans="2:11" s="1" customFormat="1" ht="30" x14ac:dyDescent="0.25">
      <c r="B50" s="59" t="s">
        <v>58</v>
      </c>
      <c r="C50" s="192" t="s">
        <v>160</v>
      </c>
      <c r="D50" s="182" t="s">
        <v>68</v>
      </c>
      <c r="E50" s="183">
        <f>4.64*7+6*1.8*2.6+100</f>
        <v>160.56</v>
      </c>
      <c r="F50" s="212"/>
      <c r="G50" s="212"/>
      <c r="H50" s="212"/>
      <c r="I50" s="212"/>
      <c r="J50" s="212"/>
      <c r="K50" s="212"/>
    </row>
    <row r="51" spans="2:11" s="1" customFormat="1" x14ac:dyDescent="0.25">
      <c r="B51" s="59"/>
      <c r="C51" s="191" t="s">
        <v>75</v>
      </c>
      <c r="D51" s="182"/>
      <c r="E51" s="183"/>
    </row>
    <row r="52" spans="2:11" s="1" customFormat="1" x14ac:dyDescent="0.25">
      <c r="B52" s="59"/>
      <c r="C52" s="191"/>
      <c r="D52" s="182"/>
      <c r="E52" s="183"/>
    </row>
    <row r="53" spans="2:11" s="1" customFormat="1" x14ac:dyDescent="0.25">
      <c r="B53" s="59" t="s">
        <v>70</v>
      </c>
      <c r="C53" s="191" t="s">
        <v>72</v>
      </c>
      <c r="D53" s="182" t="s">
        <v>68</v>
      </c>
      <c r="E53" s="193">
        <f>5.2*2.09+5.2*1.38+3*1.1*2.09</f>
        <v>24.941000000000003</v>
      </c>
    </row>
    <row r="54" spans="2:11" s="1" customFormat="1" x14ac:dyDescent="0.25">
      <c r="B54" s="59"/>
      <c r="C54" s="191" t="s">
        <v>71</v>
      </c>
      <c r="D54" s="182"/>
      <c r="E54" s="183"/>
    </row>
    <row r="55" spans="2:11" s="1" customFormat="1" x14ac:dyDescent="0.25">
      <c r="B55" s="59"/>
      <c r="C55" s="191"/>
      <c r="D55" s="182"/>
      <c r="E55" s="183"/>
    </row>
    <row r="56" spans="2:11" s="1" customFormat="1" x14ac:dyDescent="0.25">
      <c r="B56" s="59" t="s">
        <v>77</v>
      </c>
      <c r="C56" s="191" t="s">
        <v>248</v>
      </c>
      <c r="D56" s="182" t="s">
        <v>68</v>
      </c>
      <c r="E56" s="183">
        <f>2*1.5*18.3</f>
        <v>54.900000000000006</v>
      </c>
    </row>
    <row r="57" spans="2:11" s="1" customFormat="1" x14ac:dyDescent="0.25">
      <c r="B57" s="59"/>
      <c r="C57" s="191" t="s">
        <v>78</v>
      </c>
      <c r="D57" s="182"/>
      <c r="E57" s="183"/>
    </row>
    <row r="58" spans="2:11" s="1" customFormat="1" x14ac:dyDescent="0.25">
      <c r="B58" s="59"/>
      <c r="C58" s="191"/>
      <c r="D58" s="182"/>
      <c r="E58" s="183"/>
    </row>
    <row r="59" spans="2:11" s="1" customFormat="1" ht="30" x14ac:dyDescent="0.25">
      <c r="B59" s="59" t="s">
        <v>82</v>
      </c>
      <c r="C59" s="192" t="s">
        <v>83</v>
      </c>
      <c r="D59" s="182" t="s">
        <v>84</v>
      </c>
      <c r="E59" s="183">
        <v>1</v>
      </c>
    </row>
    <row r="60" spans="2:11" s="1" customFormat="1" x14ac:dyDescent="0.25">
      <c r="B60" s="59"/>
      <c r="C60" s="192"/>
      <c r="D60" s="182"/>
      <c r="E60" s="183"/>
    </row>
    <row r="61" spans="2:11" s="1" customFormat="1" x14ac:dyDescent="0.25">
      <c r="B61" s="59" t="s">
        <v>85</v>
      </c>
      <c r="C61" s="192" t="s">
        <v>86</v>
      </c>
      <c r="D61" s="182" t="s">
        <v>88</v>
      </c>
      <c r="E61" s="183">
        <f>1*1*1.2</f>
        <v>1.2</v>
      </c>
    </row>
    <row r="62" spans="2:11" s="1" customFormat="1" x14ac:dyDescent="0.25">
      <c r="B62" s="59"/>
      <c r="C62" s="192" t="s">
        <v>87</v>
      </c>
      <c r="D62" s="182"/>
      <c r="E62" s="183"/>
    </row>
    <row r="63" spans="2:11" s="1" customFormat="1" x14ac:dyDescent="0.25">
      <c r="B63" s="59"/>
      <c r="C63" s="192"/>
      <c r="D63" s="182"/>
      <c r="E63" s="183"/>
    </row>
    <row r="64" spans="2:11" s="1" customFormat="1" ht="30" x14ac:dyDescent="0.25">
      <c r="B64" s="59" t="s">
        <v>244</v>
      </c>
      <c r="C64" s="192" t="s">
        <v>245</v>
      </c>
      <c r="D64" s="182" t="s">
        <v>68</v>
      </c>
      <c r="E64" s="183">
        <v>500</v>
      </c>
    </row>
    <row r="65" spans="2:7" s="1" customFormat="1" x14ac:dyDescent="0.25">
      <c r="B65" s="59"/>
      <c r="C65" s="192"/>
      <c r="D65" s="182"/>
      <c r="E65" s="183"/>
    </row>
    <row r="66" spans="2:7" s="1" customFormat="1" x14ac:dyDescent="0.25">
      <c r="B66" s="59"/>
      <c r="C66" s="191"/>
      <c r="D66" s="182"/>
      <c r="E66" s="183"/>
    </row>
    <row r="67" spans="2:7" x14ac:dyDescent="0.25">
      <c r="B67" s="225">
        <v>2</v>
      </c>
      <c r="C67" s="229" t="s">
        <v>6</v>
      </c>
      <c r="D67" s="230"/>
      <c r="E67" s="231"/>
    </row>
    <row r="68" spans="2:7" s="8" customFormat="1" ht="45" x14ac:dyDescent="0.25">
      <c r="B68" s="59" t="s">
        <v>35</v>
      </c>
      <c r="C68" s="43" t="s">
        <v>252</v>
      </c>
      <c r="D68" s="49" t="s">
        <v>84</v>
      </c>
      <c r="E68" s="194">
        <v>1</v>
      </c>
    </row>
    <row r="69" spans="2:7" s="8" customFormat="1" ht="17.25" customHeight="1" x14ac:dyDescent="0.25">
      <c r="B69" s="59"/>
      <c r="C69" s="41"/>
      <c r="D69" s="49"/>
      <c r="E69" s="64"/>
    </row>
    <row r="70" spans="2:7" s="8" customFormat="1" ht="77.25" customHeight="1" x14ac:dyDescent="0.25">
      <c r="B70" s="59" t="s">
        <v>36</v>
      </c>
      <c r="C70" s="43" t="s">
        <v>516</v>
      </c>
      <c r="D70" s="49" t="s">
        <v>84</v>
      </c>
      <c r="E70" s="64">
        <v>1</v>
      </c>
      <c r="G70" s="65"/>
    </row>
    <row r="71" spans="2:7" s="8" customFormat="1" ht="18" customHeight="1" x14ac:dyDescent="0.25">
      <c r="B71" s="59"/>
      <c r="C71" s="41"/>
      <c r="D71" s="49"/>
      <c r="E71" s="64"/>
    </row>
    <row r="72" spans="2:7" s="8" customFormat="1" ht="17.25" customHeight="1" x14ac:dyDescent="0.25">
      <c r="B72" s="59" t="s">
        <v>91</v>
      </c>
      <c r="C72" s="41" t="s">
        <v>521</v>
      </c>
      <c r="D72" s="49" t="s">
        <v>93</v>
      </c>
      <c r="E72" s="64">
        <v>1</v>
      </c>
    </row>
    <row r="73" spans="2:7" s="8" customFormat="1" ht="17.25" customHeight="1" x14ac:dyDescent="0.25">
      <c r="B73" s="59"/>
      <c r="C73" s="41"/>
      <c r="D73" s="49"/>
      <c r="E73" s="64"/>
    </row>
    <row r="74" spans="2:7" s="8" customFormat="1" ht="17.25" x14ac:dyDescent="0.25">
      <c r="B74" s="59" t="s">
        <v>109</v>
      </c>
      <c r="C74" s="41" t="s">
        <v>15</v>
      </c>
      <c r="D74" s="49" t="s">
        <v>20</v>
      </c>
      <c r="E74" s="61">
        <f>SO_03_KL_1!G47+E78+E80</f>
        <v>2025.579</v>
      </c>
    </row>
    <row r="75" spans="2:7" s="8" customFormat="1" ht="30" x14ac:dyDescent="0.25">
      <c r="B75" s="59"/>
      <c r="C75" s="43" t="s">
        <v>192</v>
      </c>
      <c r="D75" s="49" t="s">
        <v>20</v>
      </c>
      <c r="E75" s="195">
        <f>SO_03_KL_1!G47</f>
        <v>1945.8589999999999</v>
      </c>
    </row>
    <row r="76" spans="2:7" s="8" customFormat="1" x14ac:dyDescent="0.25">
      <c r="B76" s="59"/>
      <c r="C76" s="41" t="s">
        <v>19</v>
      </c>
      <c r="D76" s="44"/>
      <c r="E76" s="67"/>
    </row>
    <row r="77" spans="2:7" s="8" customFormat="1" x14ac:dyDescent="0.25">
      <c r="B77" s="59"/>
      <c r="C77" s="41"/>
      <c r="D77" s="44"/>
      <c r="E77" s="67"/>
    </row>
    <row r="78" spans="2:7" s="8" customFormat="1" x14ac:dyDescent="0.25">
      <c r="B78" s="59"/>
      <c r="C78" s="41" t="s">
        <v>147</v>
      </c>
      <c r="D78" s="44"/>
      <c r="E78" s="64">
        <f>15*3.4+7.6*3.4</f>
        <v>76.84</v>
      </c>
    </row>
    <row r="79" spans="2:7" s="8" customFormat="1" x14ac:dyDescent="0.25">
      <c r="B79" s="59"/>
      <c r="C79" s="41" t="s">
        <v>148</v>
      </c>
      <c r="D79" s="44"/>
      <c r="E79" s="67"/>
    </row>
    <row r="80" spans="2:7" s="8" customFormat="1" ht="30" x14ac:dyDescent="0.25">
      <c r="B80" s="59"/>
      <c r="C80" s="43" t="s">
        <v>538</v>
      </c>
      <c r="D80" s="44"/>
      <c r="E80" s="64">
        <f>2*3*0.8*0.6</f>
        <v>2.8800000000000003</v>
      </c>
    </row>
    <row r="81" spans="2:8" s="8" customFormat="1" x14ac:dyDescent="0.25">
      <c r="B81" s="59"/>
      <c r="C81" s="41" t="s">
        <v>539</v>
      </c>
      <c r="D81" s="44"/>
      <c r="E81" s="67"/>
    </row>
    <row r="82" spans="2:8" s="8" customFormat="1" ht="15" customHeight="1" x14ac:dyDescent="0.25">
      <c r="B82" s="59"/>
      <c r="C82" s="41"/>
      <c r="D82" s="44"/>
      <c r="E82" s="67"/>
    </row>
    <row r="83" spans="2:8" s="8" customFormat="1" ht="15" customHeight="1" x14ac:dyDescent="0.25">
      <c r="B83" s="59" t="s">
        <v>110</v>
      </c>
      <c r="C83" s="41" t="s">
        <v>108</v>
      </c>
      <c r="D83" s="49" t="s">
        <v>20</v>
      </c>
      <c r="E83" s="195">
        <f>SO_03_KL_1!J47+E85</f>
        <v>381.2036500000001</v>
      </c>
    </row>
    <row r="84" spans="2:8" s="8" customFormat="1" ht="15" customHeight="1" x14ac:dyDescent="0.25">
      <c r="B84" s="59"/>
      <c r="C84" s="41" t="s">
        <v>19</v>
      </c>
      <c r="D84" s="49"/>
      <c r="E84" s="194">
        <f>SO_03_KL_1!J47</f>
        <v>379.40365000000008</v>
      </c>
    </row>
    <row r="85" spans="2:8" s="8" customFormat="1" ht="15" customHeight="1" x14ac:dyDescent="0.25">
      <c r="B85" s="59"/>
      <c r="C85" s="41" t="s">
        <v>542</v>
      </c>
      <c r="D85" s="49"/>
      <c r="E85" s="194">
        <f>2*3*0.6*0.5</f>
        <v>1.7999999999999998</v>
      </c>
    </row>
    <row r="86" spans="2:8" s="8" customFormat="1" ht="15" customHeight="1" x14ac:dyDescent="0.25">
      <c r="B86" s="59"/>
      <c r="C86" s="41"/>
      <c r="D86" s="49"/>
      <c r="E86" s="194"/>
    </row>
    <row r="87" spans="2:8" s="8" customFormat="1" ht="30.75" customHeight="1" x14ac:dyDescent="0.25">
      <c r="B87" s="59" t="s">
        <v>111</v>
      </c>
      <c r="C87" s="43" t="s">
        <v>190</v>
      </c>
      <c r="D87" s="49" t="s">
        <v>146</v>
      </c>
      <c r="E87" s="195">
        <f>SO_03_KL_1!M47</f>
        <v>725.08600000000001</v>
      </c>
    </row>
    <row r="88" spans="2:8" s="8" customFormat="1" ht="15" customHeight="1" x14ac:dyDescent="0.25">
      <c r="B88" s="59"/>
      <c r="C88" s="41" t="s">
        <v>19</v>
      </c>
      <c r="D88" s="49"/>
      <c r="E88" s="195"/>
    </row>
    <row r="89" spans="2:8" s="8" customFormat="1" ht="15" customHeight="1" x14ac:dyDescent="0.25">
      <c r="B89" s="59"/>
      <c r="C89" s="41"/>
      <c r="D89" s="49"/>
      <c r="E89" s="194"/>
      <c r="F89" s="65"/>
      <c r="G89" s="65"/>
      <c r="H89" s="65"/>
    </row>
    <row r="90" spans="2:8" s="8" customFormat="1" ht="29.25" customHeight="1" x14ac:dyDescent="0.25">
      <c r="B90" s="59" t="s">
        <v>143</v>
      </c>
      <c r="C90" s="43" t="s">
        <v>144</v>
      </c>
      <c r="D90" s="49" t="s">
        <v>146</v>
      </c>
      <c r="E90" s="195">
        <f>SO_03_KL_3!G47</f>
        <v>813.09249999999986</v>
      </c>
      <c r="F90" s="65"/>
      <c r="G90" s="65"/>
      <c r="H90" s="65"/>
    </row>
    <row r="91" spans="2:8" s="8" customFormat="1" ht="15" customHeight="1" x14ac:dyDescent="0.25">
      <c r="B91" s="59"/>
      <c r="C91" s="41" t="s">
        <v>145</v>
      </c>
      <c r="D91" s="49"/>
      <c r="E91" s="194"/>
      <c r="F91" s="65"/>
      <c r="G91" s="65"/>
      <c r="H91" s="65"/>
    </row>
    <row r="92" spans="2:8" s="8" customFormat="1" ht="15" customHeight="1" x14ac:dyDescent="0.25">
      <c r="B92" s="59"/>
      <c r="C92" s="41"/>
      <c r="D92" s="49"/>
      <c r="E92" s="194"/>
      <c r="F92" s="65"/>
      <c r="G92" s="65"/>
      <c r="H92" s="65"/>
    </row>
    <row r="93" spans="2:8" s="8" customFormat="1" ht="30.75" customHeight="1" x14ac:dyDescent="0.25">
      <c r="B93" s="59" t="s">
        <v>187</v>
      </c>
      <c r="C93" s="43" t="s">
        <v>188</v>
      </c>
      <c r="D93" s="49" t="s">
        <v>92</v>
      </c>
      <c r="E93" s="194">
        <v>948</v>
      </c>
      <c r="F93" s="65"/>
      <c r="G93" s="65"/>
      <c r="H93" s="65"/>
    </row>
    <row r="94" spans="2:8" s="8" customFormat="1" ht="15" customHeight="1" x14ac:dyDescent="0.25">
      <c r="B94" s="59"/>
      <c r="C94" s="41" t="s">
        <v>189</v>
      </c>
      <c r="D94" s="49"/>
      <c r="E94" s="194"/>
      <c r="F94" s="65"/>
      <c r="G94" s="65"/>
      <c r="H94" s="65"/>
    </row>
    <row r="95" spans="2:8" s="8" customFormat="1" ht="15" customHeight="1" x14ac:dyDescent="0.25">
      <c r="B95" s="59"/>
      <c r="C95" s="41"/>
      <c r="D95" s="49"/>
      <c r="E95" s="194"/>
      <c r="F95" s="65"/>
      <c r="G95" s="65"/>
      <c r="H95" s="65"/>
    </row>
    <row r="96" spans="2:8" s="8" customFormat="1" ht="15" customHeight="1" x14ac:dyDescent="0.25">
      <c r="B96" s="59" t="s">
        <v>193</v>
      </c>
      <c r="C96" s="41" t="s">
        <v>16</v>
      </c>
      <c r="D96" s="49" t="s">
        <v>146</v>
      </c>
      <c r="E96" s="195">
        <f>SO_03_KL_1!M47</f>
        <v>725.08600000000001</v>
      </c>
      <c r="F96" s="65"/>
      <c r="G96" s="65"/>
      <c r="H96" s="65"/>
    </row>
    <row r="97" spans="1:8" s="8" customFormat="1" ht="15" customHeight="1" x14ac:dyDescent="0.25">
      <c r="B97" s="59"/>
      <c r="C97" s="41" t="s">
        <v>194</v>
      </c>
      <c r="D97" s="49"/>
      <c r="E97" s="194"/>
      <c r="F97" s="65"/>
      <c r="G97" s="65"/>
      <c r="H97" s="65"/>
    </row>
    <row r="98" spans="1:8" s="8" customFormat="1" ht="15" customHeight="1" x14ac:dyDescent="0.25">
      <c r="B98" s="59"/>
      <c r="C98" s="41"/>
      <c r="D98" s="49"/>
      <c r="E98" s="194"/>
      <c r="F98" s="65"/>
      <c r="G98" s="65"/>
      <c r="H98" s="65"/>
    </row>
    <row r="99" spans="1:8" s="8" customFormat="1" ht="30" customHeight="1" x14ac:dyDescent="0.25">
      <c r="B99" s="59" t="s">
        <v>236</v>
      </c>
      <c r="C99" s="43" t="s">
        <v>537</v>
      </c>
      <c r="D99" s="49" t="s">
        <v>84</v>
      </c>
      <c r="E99" s="194">
        <v>1</v>
      </c>
      <c r="F99" s="65"/>
      <c r="G99" s="65"/>
      <c r="H99" s="65"/>
    </row>
    <row r="100" spans="1:8" s="8" customFormat="1" ht="15" customHeight="1" x14ac:dyDescent="0.25">
      <c r="A100" s="205"/>
      <c r="B100" s="59"/>
      <c r="C100" s="43"/>
      <c r="D100" s="49"/>
      <c r="E100" s="194"/>
      <c r="F100" s="220"/>
      <c r="G100" s="65"/>
      <c r="H100" s="65"/>
    </row>
    <row r="101" spans="1:8" s="8" customFormat="1" ht="29.25" customHeight="1" x14ac:dyDescent="0.25">
      <c r="A101" s="205"/>
      <c r="B101" s="59" t="s">
        <v>237</v>
      </c>
      <c r="C101" s="43" t="s">
        <v>540</v>
      </c>
      <c r="D101" s="49" t="s">
        <v>88</v>
      </c>
      <c r="E101" s="194">
        <f>2*3*0.6*0.3</f>
        <v>1.0799999999999998</v>
      </c>
      <c r="F101" s="220"/>
      <c r="G101" s="65"/>
      <c r="H101" s="65"/>
    </row>
    <row r="102" spans="1:8" s="8" customFormat="1" ht="15" customHeight="1" x14ac:dyDescent="0.25">
      <c r="A102" s="205"/>
      <c r="B102" s="59"/>
      <c r="C102" s="41" t="s">
        <v>541</v>
      </c>
      <c r="D102" s="49"/>
      <c r="E102" s="194"/>
      <c r="F102" s="220"/>
      <c r="G102" s="65"/>
      <c r="H102" s="65"/>
    </row>
    <row r="103" spans="1:8" s="8" customFormat="1" ht="15" customHeight="1" x14ac:dyDescent="0.25">
      <c r="A103" s="205"/>
      <c r="B103" s="59"/>
      <c r="C103" s="41"/>
      <c r="D103" s="49"/>
      <c r="E103" s="194"/>
      <c r="F103" s="220"/>
      <c r="G103" s="65"/>
      <c r="H103" s="65"/>
    </row>
    <row r="104" spans="1:8" s="8" customFormat="1" ht="31.5" customHeight="1" x14ac:dyDescent="0.25">
      <c r="B104" s="59" t="s">
        <v>238</v>
      </c>
      <c r="C104" s="43" t="s">
        <v>560</v>
      </c>
      <c r="D104" s="49" t="s">
        <v>88</v>
      </c>
      <c r="E104" s="194">
        <f>6.4*1*0.3</f>
        <v>1.92</v>
      </c>
      <c r="F104" s="65"/>
      <c r="G104" s="65"/>
      <c r="H104" s="65"/>
    </row>
    <row r="105" spans="1:8" s="8" customFormat="1" ht="15" customHeight="1" x14ac:dyDescent="0.25">
      <c r="B105" s="59"/>
      <c r="C105" s="41" t="s">
        <v>544</v>
      </c>
      <c r="D105" s="49"/>
      <c r="E105" s="194"/>
      <c r="F105" s="65"/>
      <c r="G105" s="65"/>
      <c r="H105" s="65"/>
    </row>
    <row r="106" spans="1:8" s="8" customFormat="1" x14ac:dyDescent="0.25">
      <c r="B106" s="59"/>
      <c r="C106" s="41"/>
      <c r="D106" s="49"/>
      <c r="E106" s="194"/>
    </row>
    <row r="107" spans="1:8" s="8" customFormat="1" x14ac:dyDescent="0.25">
      <c r="B107" s="232" t="s">
        <v>223</v>
      </c>
      <c r="C107" s="233" t="s">
        <v>152</v>
      </c>
      <c r="D107" s="234"/>
      <c r="E107" s="235"/>
    </row>
    <row r="108" spans="1:8" s="8" customFormat="1" ht="17.25" x14ac:dyDescent="0.25">
      <c r="B108" s="59" t="s">
        <v>120</v>
      </c>
      <c r="C108" s="42" t="s">
        <v>559</v>
      </c>
      <c r="D108" s="40" t="s">
        <v>10</v>
      </c>
      <c r="E108" s="61">
        <f>195*6</f>
        <v>1170</v>
      </c>
    </row>
    <row r="109" spans="1:8" s="8" customFormat="1" x14ac:dyDescent="0.25">
      <c r="B109" s="59"/>
      <c r="C109" s="41" t="s">
        <v>288</v>
      </c>
      <c r="D109" s="189"/>
      <c r="E109" s="50"/>
    </row>
    <row r="110" spans="1:8" s="8" customFormat="1" x14ac:dyDescent="0.25">
      <c r="B110" s="59"/>
      <c r="C110" s="41" t="s">
        <v>289</v>
      </c>
      <c r="D110" s="189"/>
      <c r="E110" s="50"/>
    </row>
    <row r="111" spans="1:8" s="8" customFormat="1" x14ac:dyDescent="0.25">
      <c r="B111" s="59"/>
      <c r="C111" s="41" t="s">
        <v>290</v>
      </c>
      <c r="D111" s="189"/>
      <c r="E111" s="50"/>
    </row>
    <row r="112" spans="1:8" s="8" customFormat="1" x14ac:dyDescent="0.25">
      <c r="B112" s="59"/>
      <c r="C112" s="41" t="s">
        <v>291</v>
      </c>
      <c r="D112" s="189"/>
      <c r="E112" s="50"/>
    </row>
    <row r="113" spans="2:6" s="8" customFormat="1" x14ac:dyDescent="0.25">
      <c r="B113" s="59"/>
      <c r="C113" s="41"/>
      <c r="D113" s="189"/>
      <c r="E113" s="50"/>
    </row>
    <row r="114" spans="2:6" s="8" customFormat="1" x14ac:dyDescent="0.25">
      <c r="B114" s="59" t="s">
        <v>123</v>
      </c>
      <c r="C114" s="42" t="s">
        <v>504</v>
      </c>
      <c r="D114" s="49"/>
      <c r="E114" s="61"/>
    </row>
    <row r="115" spans="2:6" s="8" customFormat="1" x14ac:dyDescent="0.25">
      <c r="B115" s="59"/>
      <c r="C115" s="41" t="s">
        <v>293</v>
      </c>
      <c r="D115" s="49" t="s">
        <v>68</v>
      </c>
      <c r="E115" s="187">
        <f>10*6.8*61.3</f>
        <v>4168.3999999999996</v>
      </c>
    </row>
    <row r="116" spans="2:6" s="8" customFormat="1" x14ac:dyDescent="0.25">
      <c r="B116" s="59"/>
      <c r="C116" s="41" t="s">
        <v>558</v>
      </c>
      <c r="D116" s="49"/>
      <c r="E116" s="187"/>
    </row>
    <row r="117" spans="2:6" s="8" customFormat="1" x14ac:dyDescent="0.25">
      <c r="B117" s="59"/>
      <c r="C117" s="41" t="s">
        <v>294</v>
      </c>
      <c r="D117" s="49" t="s">
        <v>11</v>
      </c>
      <c r="E117" s="61">
        <f>6.8*10</f>
        <v>68</v>
      </c>
    </row>
    <row r="118" spans="2:6" s="8" customFormat="1" x14ac:dyDescent="0.25">
      <c r="B118" s="59"/>
      <c r="C118" s="41" t="s">
        <v>295</v>
      </c>
      <c r="D118" s="49" t="s">
        <v>88</v>
      </c>
      <c r="E118" s="61">
        <f>10*0.07*6.8*1.1</f>
        <v>5.2360000000000015</v>
      </c>
    </row>
    <row r="119" spans="2:6" s="8" customFormat="1" x14ac:dyDescent="0.25">
      <c r="B119" s="59"/>
      <c r="C119" s="41" t="s">
        <v>548</v>
      </c>
      <c r="D119" s="49" t="s">
        <v>92</v>
      </c>
      <c r="E119" s="61">
        <f>10*3</f>
        <v>30</v>
      </c>
    </row>
    <row r="120" spans="2:6" s="8" customFormat="1" ht="60" x14ac:dyDescent="0.25">
      <c r="B120" s="59"/>
      <c r="C120" s="43" t="s">
        <v>296</v>
      </c>
      <c r="D120" s="49" t="s">
        <v>159</v>
      </c>
      <c r="E120" s="194">
        <v>1</v>
      </c>
    </row>
    <row r="121" spans="2:6" s="8" customFormat="1" x14ac:dyDescent="0.25">
      <c r="B121" s="59"/>
      <c r="C121" s="41"/>
      <c r="D121" s="49"/>
      <c r="E121" s="61"/>
      <c r="F121" s="65"/>
    </row>
    <row r="122" spans="2:6" s="8" customFormat="1" x14ac:dyDescent="0.25">
      <c r="B122" s="59" t="s">
        <v>183</v>
      </c>
      <c r="C122" s="42" t="s">
        <v>186</v>
      </c>
      <c r="D122" s="49"/>
      <c r="E122" s="61"/>
      <c r="F122" s="65"/>
    </row>
    <row r="123" spans="2:6" s="8" customFormat="1" x14ac:dyDescent="0.25">
      <c r="B123" s="59"/>
      <c r="C123" s="41" t="s">
        <v>184</v>
      </c>
      <c r="D123" s="49" t="s">
        <v>68</v>
      </c>
      <c r="E123" s="187">
        <f>37*6.8*61.3</f>
        <v>15423.079999999998</v>
      </c>
      <c r="F123" s="65"/>
    </row>
    <row r="124" spans="2:6" s="8" customFormat="1" x14ac:dyDescent="0.25">
      <c r="B124" s="59"/>
      <c r="C124" s="41" t="s">
        <v>558</v>
      </c>
      <c r="D124" s="49"/>
      <c r="E124" s="187"/>
      <c r="F124" s="65"/>
    </row>
    <row r="125" spans="2:6" s="8" customFormat="1" x14ac:dyDescent="0.25">
      <c r="B125" s="59"/>
      <c r="C125" s="41" t="s">
        <v>185</v>
      </c>
      <c r="D125" s="49" t="s">
        <v>11</v>
      </c>
      <c r="E125" s="61">
        <f>6.8*37</f>
        <v>251.6</v>
      </c>
      <c r="F125" s="65"/>
    </row>
    <row r="126" spans="2:6" s="8" customFormat="1" x14ac:dyDescent="0.25">
      <c r="B126" s="59"/>
      <c r="C126" s="41" t="s">
        <v>254</v>
      </c>
      <c r="D126" s="49" t="s">
        <v>88</v>
      </c>
      <c r="E126" s="61">
        <f>37*0.07*6.8*1.1</f>
        <v>19.373200000000004</v>
      </c>
      <c r="F126" s="65"/>
    </row>
    <row r="127" spans="2:6" s="8" customFormat="1" x14ac:dyDescent="0.25">
      <c r="B127" s="59"/>
      <c r="C127" s="41" t="s">
        <v>550</v>
      </c>
      <c r="D127" s="49" t="s">
        <v>92</v>
      </c>
      <c r="E127" s="61">
        <f>43*3</f>
        <v>129</v>
      </c>
      <c r="F127" s="65"/>
    </row>
    <row r="128" spans="2:6" s="8" customFormat="1" ht="60" x14ac:dyDescent="0.25">
      <c r="B128" s="59"/>
      <c r="C128" s="43" t="s">
        <v>292</v>
      </c>
      <c r="D128" s="49" t="s">
        <v>159</v>
      </c>
      <c r="E128" s="194">
        <v>1</v>
      </c>
      <c r="F128" s="65"/>
    </row>
    <row r="129" spans="2:8" s="8" customFormat="1" x14ac:dyDescent="0.25">
      <c r="B129" s="59"/>
      <c r="C129" s="43"/>
      <c r="D129" s="49"/>
      <c r="E129" s="194"/>
      <c r="F129" s="65"/>
    </row>
    <row r="130" spans="2:8" s="8" customFormat="1" ht="51" x14ac:dyDescent="0.25">
      <c r="B130" s="59" t="s">
        <v>249</v>
      </c>
      <c r="C130" s="196" t="s">
        <v>319</v>
      </c>
      <c r="D130" s="49" t="s">
        <v>92</v>
      </c>
      <c r="E130" s="64">
        <f>(11*3.8+40*2.35+95*2.4+50*2.7)/2</f>
        <v>249.4</v>
      </c>
      <c r="F130" s="65"/>
      <c r="G130" s="65"/>
      <c r="H130" s="1"/>
    </row>
    <row r="131" spans="2:8" s="8" customFormat="1" x14ac:dyDescent="0.25">
      <c r="B131" s="59"/>
      <c r="C131" s="197" t="s">
        <v>310</v>
      </c>
      <c r="D131" s="49"/>
      <c r="E131" s="64"/>
      <c r="F131" s="65"/>
      <c r="G131" s="65"/>
      <c r="H131" s="1"/>
    </row>
    <row r="132" spans="2:8" s="8" customFormat="1" x14ac:dyDescent="0.25">
      <c r="B132" s="59"/>
      <c r="C132" s="197" t="s">
        <v>515</v>
      </c>
      <c r="D132" s="49"/>
      <c r="E132" s="64"/>
      <c r="F132" s="65"/>
      <c r="G132" s="65"/>
      <c r="H132" s="1"/>
    </row>
    <row r="133" spans="2:8" s="8" customFormat="1" x14ac:dyDescent="0.25">
      <c r="B133" s="59"/>
      <c r="C133" s="198" t="s">
        <v>311</v>
      </c>
      <c r="D133" s="49"/>
      <c r="E133" s="64"/>
      <c r="F133" s="65"/>
      <c r="G133" s="65"/>
      <c r="H133" s="1"/>
    </row>
    <row r="134" spans="2:8" s="8" customFormat="1" x14ac:dyDescent="0.25">
      <c r="B134" s="59"/>
      <c r="C134" s="197"/>
      <c r="D134" s="49"/>
      <c r="E134" s="64"/>
      <c r="F134" s="65"/>
      <c r="G134" s="65"/>
      <c r="H134" s="1"/>
    </row>
    <row r="135" spans="2:8" s="8" customFormat="1" x14ac:dyDescent="0.25">
      <c r="B135" s="59" t="s">
        <v>250</v>
      </c>
      <c r="C135" s="199" t="s">
        <v>505</v>
      </c>
      <c r="D135" s="49" t="s">
        <v>92</v>
      </c>
      <c r="E135" s="64">
        <f>11*3.8+40*2.35+95*2.4+50*2.7</f>
        <v>498.8</v>
      </c>
      <c r="F135" s="1"/>
      <c r="G135" s="84"/>
      <c r="H135" s="1"/>
    </row>
    <row r="136" spans="2:8" s="8" customFormat="1" x14ac:dyDescent="0.25">
      <c r="B136" s="59"/>
      <c r="C136" s="197" t="s">
        <v>310</v>
      </c>
      <c r="D136" s="49"/>
      <c r="E136" s="64"/>
      <c r="F136" s="65"/>
      <c r="G136" s="65"/>
      <c r="H136" s="1"/>
    </row>
    <row r="137" spans="2:8" s="8" customFormat="1" x14ac:dyDescent="0.25">
      <c r="B137" s="59"/>
      <c r="C137" s="197" t="s">
        <v>515</v>
      </c>
      <c r="D137" s="49"/>
      <c r="E137" s="64"/>
      <c r="F137" s="65"/>
      <c r="G137" s="65"/>
      <c r="H137" s="1"/>
    </row>
    <row r="138" spans="2:8" s="8" customFormat="1" x14ac:dyDescent="0.25">
      <c r="B138" s="59"/>
      <c r="C138" s="197"/>
      <c r="D138" s="49"/>
      <c r="E138" s="64"/>
      <c r="F138" s="65"/>
      <c r="G138" s="65"/>
      <c r="H138" s="1"/>
    </row>
    <row r="139" spans="2:8" s="8" customFormat="1" x14ac:dyDescent="0.25">
      <c r="B139" s="59" t="s">
        <v>251</v>
      </c>
      <c r="C139" s="200" t="s">
        <v>506</v>
      </c>
      <c r="D139" s="49" t="s">
        <v>88</v>
      </c>
      <c r="E139" s="188">
        <f>E135*0.4*0.5</f>
        <v>99.76</v>
      </c>
      <c r="F139" s="65"/>
      <c r="G139" s="65"/>
      <c r="H139" s="1"/>
    </row>
    <row r="140" spans="2:8" s="8" customFormat="1" x14ac:dyDescent="0.25">
      <c r="B140" s="59"/>
      <c r="C140" s="197" t="s">
        <v>507</v>
      </c>
      <c r="D140" s="49"/>
      <c r="E140" s="64"/>
      <c r="F140" s="65"/>
      <c r="G140" s="65"/>
      <c r="H140" s="1"/>
    </row>
    <row r="141" spans="2:8" s="8" customFormat="1" x14ac:dyDescent="0.25">
      <c r="B141" s="59"/>
      <c r="C141" s="197"/>
      <c r="D141" s="49"/>
      <c r="E141" s="64"/>
      <c r="F141" s="65"/>
      <c r="G141" s="65"/>
      <c r="H141" s="1"/>
    </row>
    <row r="142" spans="2:8" s="8" customFormat="1" ht="38.25" x14ac:dyDescent="0.25">
      <c r="B142" s="59" t="s">
        <v>253</v>
      </c>
      <c r="C142" s="201" t="s">
        <v>317</v>
      </c>
      <c r="D142" s="49" t="s">
        <v>84</v>
      </c>
      <c r="E142" s="64">
        <v>1</v>
      </c>
      <c r="F142" s="65"/>
      <c r="G142" s="65"/>
      <c r="H142" s="1"/>
    </row>
    <row r="143" spans="2:8" s="8" customFormat="1" x14ac:dyDescent="0.25">
      <c r="B143" s="59"/>
      <c r="C143" s="201"/>
      <c r="D143" s="49"/>
      <c r="E143" s="64"/>
      <c r="F143" s="65"/>
      <c r="G143" s="65"/>
      <c r="H143" s="1"/>
    </row>
    <row r="144" spans="2:8" s="8" customFormat="1" ht="38.25" x14ac:dyDescent="0.25">
      <c r="B144" s="59" t="s">
        <v>261</v>
      </c>
      <c r="C144" s="201" t="s">
        <v>508</v>
      </c>
      <c r="D144" s="49" t="s">
        <v>68</v>
      </c>
      <c r="E144" s="64">
        <v>647</v>
      </c>
      <c r="F144" s="65"/>
      <c r="G144" s="65"/>
      <c r="H144" s="1"/>
    </row>
    <row r="145" spans="2:8" s="8" customFormat="1" x14ac:dyDescent="0.25">
      <c r="B145" s="59"/>
      <c r="C145" s="201"/>
      <c r="D145" s="49"/>
      <c r="E145" s="64"/>
      <c r="F145" s="65"/>
      <c r="G145" s="65"/>
      <c r="H145" s="1"/>
    </row>
    <row r="146" spans="2:8" s="8" customFormat="1" ht="38.25" x14ac:dyDescent="0.25">
      <c r="B146" s="59" t="s">
        <v>262</v>
      </c>
      <c r="C146" s="201" t="s">
        <v>511</v>
      </c>
      <c r="D146" s="49" t="s">
        <v>93</v>
      </c>
      <c r="E146" s="64">
        <v>6</v>
      </c>
      <c r="F146" s="65"/>
      <c r="G146" s="65"/>
      <c r="H146" s="1"/>
    </row>
    <row r="147" spans="2:8" s="8" customFormat="1" x14ac:dyDescent="0.25">
      <c r="B147" s="59"/>
      <c r="C147" s="197"/>
      <c r="D147" s="41"/>
      <c r="E147" s="202"/>
      <c r="F147" s="65"/>
      <c r="G147" s="65"/>
      <c r="H147" s="1"/>
    </row>
    <row r="148" spans="2:8" s="8" customFormat="1" ht="30" x14ac:dyDescent="0.25">
      <c r="B148" s="59" t="s">
        <v>509</v>
      </c>
      <c r="C148" s="74" t="s">
        <v>510</v>
      </c>
      <c r="D148" s="203" t="s">
        <v>11</v>
      </c>
      <c r="E148" s="204">
        <v>11</v>
      </c>
      <c r="F148" s="65"/>
      <c r="G148" s="65"/>
      <c r="H148" s="1"/>
    </row>
    <row r="149" spans="2:8" s="8" customFormat="1" x14ac:dyDescent="0.25">
      <c r="B149" s="59"/>
      <c r="C149" s="74"/>
      <c r="D149" s="203"/>
      <c r="E149" s="204"/>
      <c r="F149" s="65"/>
      <c r="G149" s="65"/>
      <c r="H149" s="1"/>
    </row>
    <row r="150" spans="2:8" s="8" customFormat="1" x14ac:dyDescent="0.25">
      <c r="B150" s="59" t="s">
        <v>517</v>
      </c>
      <c r="C150" s="74" t="s">
        <v>518</v>
      </c>
      <c r="D150" s="203" t="s">
        <v>11</v>
      </c>
      <c r="E150" s="204">
        <v>184</v>
      </c>
      <c r="F150" s="65"/>
      <c r="G150" s="65"/>
      <c r="H150" s="1"/>
    </row>
    <row r="151" spans="2:8" s="8" customFormat="1" ht="30" x14ac:dyDescent="0.25">
      <c r="B151" s="59"/>
      <c r="C151" s="43" t="s">
        <v>519</v>
      </c>
      <c r="D151" s="49"/>
      <c r="E151" s="194"/>
      <c r="F151" s="65"/>
    </row>
    <row r="152" spans="2:8" s="8" customFormat="1" x14ac:dyDescent="0.25">
      <c r="B152" s="59"/>
      <c r="C152" s="43"/>
      <c r="D152" s="49"/>
      <c r="E152" s="194"/>
      <c r="F152" s="65"/>
    </row>
    <row r="153" spans="2:8" s="8" customFormat="1" x14ac:dyDescent="0.25">
      <c r="B153" s="59" t="s">
        <v>549</v>
      </c>
      <c r="C153" s="43" t="s">
        <v>551</v>
      </c>
      <c r="D153" s="49" t="s">
        <v>11</v>
      </c>
      <c r="E153" s="194">
        <v>320</v>
      </c>
      <c r="F153" s="65"/>
    </row>
    <row r="154" spans="2:8" s="8" customFormat="1" x14ac:dyDescent="0.25">
      <c r="B154" s="59"/>
      <c r="C154" s="43" t="s">
        <v>552</v>
      </c>
      <c r="D154" s="49"/>
      <c r="E154" s="194"/>
      <c r="F154" s="65"/>
    </row>
    <row r="155" spans="2:8" s="8" customFormat="1" x14ac:dyDescent="0.25">
      <c r="B155" s="59"/>
      <c r="C155" s="43"/>
      <c r="D155" s="49"/>
      <c r="E155" s="194"/>
      <c r="F155" s="65"/>
    </row>
    <row r="156" spans="2:8" s="8" customFormat="1" ht="30" x14ac:dyDescent="0.25">
      <c r="B156" s="59" t="s">
        <v>553</v>
      </c>
      <c r="C156" s="43" t="s">
        <v>554</v>
      </c>
      <c r="D156" s="49" t="s">
        <v>93</v>
      </c>
      <c r="E156" s="194">
        <v>47</v>
      </c>
      <c r="F156" s="65"/>
    </row>
    <row r="157" spans="2:8" s="8" customFormat="1" x14ac:dyDescent="0.25">
      <c r="B157" s="59"/>
      <c r="C157" s="43"/>
      <c r="D157" s="49"/>
      <c r="E157" s="194"/>
      <c r="F157" s="65"/>
    </row>
    <row r="158" spans="2:8" s="8" customFormat="1" x14ac:dyDescent="0.25">
      <c r="B158" s="59" t="s">
        <v>555</v>
      </c>
      <c r="C158" s="43" t="s">
        <v>556</v>
      </c>
      <c r="D158" s="49" t="s">
        <v>11</v>
      </c>
      <c r="E158" s="194">
        <v>320</v>
      </c>
      <c r="F158" s="65"/>
    </row>
    <row r="159" spans="2:8" s="8" customFormat="1" x14ac:dyDescent="0.25">
      <c r="B159" s="59"/>
      <c r="C159" s="43" t="s">
        <v>557</v>
      </c>
      <c r="D159" s="49"/>
      <c r="E159" s="194"/>
      <c r="F159" s="65"/>
    </row>
    <row r="160" spans="2:8" s="8" customFormat="1" ht="15" customHeight="1" x14ac:dyDescent="0.25">
      <c r="B160" s="59"/>
      <c r="C160" s="41"/>
      <c r="D160" s="49"/>
      <c r="E160" s="194"/>
      <c r="F160" s="65"/>
    </row>
    <row r="161" spans="2:5" s="8" customFormat="1" x14ac:dyDescent="0.25">
      <c r="B161" s="236" t="s">
        <v>224</v>
      </c>
      <c r="C161" s="233" t="s">
        <v>7</v>
      </c>
      <c r="D161" s="237"/>
      <c r="E161" s="238"/>
    </row>
    <row r="162" spans="2:5" s="8" customFormat="1" ht="17.25" x14ac:dyDescent="0.25">
      <c r="B162" s="59" t="s">
        <v>150</v>
      </c>
      <c r="C162" s="42" t="s">
        <v>121</v>
      </c>
      <c r="D162" s="40" t="s">
        <v>9</v>
      </c>
      <c r="E162" s="66">
        <f>72*0.15+130.64*6.3*0.15+2*3*0.15+46*0.15/0.982287+4</f>
        <v>146.17922361550137</v>
      </c>
    </row>
    <row r="163" spans="2:5" s="8" customFormat="1" x14ac:dyDescent="0.25">
      <c r="B163" s="59"/>
      <c r="C163" s="41" t="s">
        <v>112</v>
      </c>
      <c r="D163" s="44"/>
      <c r="E163" s="67"/>
    </row>
    <row r="164" spans="2:5" s="8" customFormat="1" x14ac:dyDescent="0.25">
      <c r="B164" s="59"/>
      <c r="C164" s="41" t="s">
        <v>118</v>
      </c>
      <c r="D164" s="44"/>
      <c r="E164" s="67"/>
    </row>
    <row r="165" spans="2:5" s="8" customFormat="1" x14ac:dyDescent="0.25">
      <c r="B165" s="59"/>
      <c r="C165" s="41" t="s">
        <v>113</v>
      </c>
      <c r="D165" s="44"/>
      <c r="E165" s="67"/>
    </row>
    <row r="166" spans="2:5" s="8" customFormat="1" x14ac:dyDescent="0.25">
      <c r="B166" s="59"/>
      <c r="C166" s="41" t="s">
        <v>116</v>
      </c>
      <c r="D166" s="44"/>
      <c r="E166" s="67"/>
    </row>
    <row r="167" spans="2:5" s="8" customFormat="1" x14ac:dyDescent="0.25">
      <c r="B167" s="59"/>
      <c r="C167" s="41" t="s">
        <v>117</v>
      </c>
      <c r="D167" s="44"/>
      <c r="E167" s="67"/>
    </row>
    <row r="168" spans="2:5" s="8" customFormat="1" x14ac:dyDescent="0.25">
      <c r="B168" s="59"/>
      <c r="C168" s="41" t="s">
        <v>114</v>
      </c>
      <c r="D168" s="44"/>
      <c r="E168" s="67"/>
    </row>
    <row r="169" spans="2:5" s="8" customFormat="1" x14ac:dyDescent="0.25">
      <c r="B169" s="59"/>
      <c r="C169" s="41" t="s">
        <v>115</v>
      </c>
      <c r="D169" s="44"/>
      <c r="E169" s="67"/>
    </row>
    <row r="170" spans="2:5" s="8" customFormat="1" x14ac:dyDescent="0.25">
      <c r="B170" s="59"/>
      <c r="C170" s="41" t="s">
        <v>119</v>
      </c>
      <c r="D170" s="44"/>
      <c r="E170" s="67"/>
    </row>
    <row r="171" spans="2:5" s="8" customFormat="1" x14ac:dyDescent="0.25">
      <c r="B171" s="59"/>
      <c r="C171" s="41" t="s">
        <v>297</v>
      </c>
      <c r="D171" s="44"/>
      <c r="E171" s="67"/>
    </row>
    <row r="172" spans="2:5" s="8" customFormat="1" x14ac:dyDescent="0.25">
      <c r="B172" s="59"/>
      <c r="C172" s="41" t="s">
        <v>298</v>
      </c>
      <c r="D172" s="44"/>
      <c r="E172" s="67"/>
    </row>
    <row r="173" spans="2:5" s="8" customFormat="1" x14ac:dyDescent="0.25">
      <c r="B173" s="59"/>
      <c r="C173" s="41"/>
      <c r="D173" s="44"/>
      <c r="E173" s="67"/>
    </row>
    <row r="174" spans="2:5" s="8" customFormat="1" ht="18" customHeight="1" x14ac:dyDescent="0.25">
      <c r="B174" s="59" t="s">
        <v>151</v>
      </c>
      <c r="C174" s="42" t="s">
        <v>122</v>
      </c>
      <c r="D174" s="40" t="s">
        <v>9</v>
      </c>
      <c r="E174" s="66">
        <f>SO_03_KL_3a!F21+E176+E178</f>
        <v>955.77285372499989</v>
      </c>
    </row>
    <row r="175" spans="2:5" s="8" customFormat="1" ht="45" x14ac:dyDescent="0.25">
      <c r="B175" s="59"/>
      <c r="C175" s="43" t="s">
        <v>299</v>
      </c>
      <c r="D175" s="49"/>
      <c r="E175" s="61"/>
    </row>
    <row r="176" spans="2:5" s="8" customFormat="1" x14ac:dyDescent="0.25">
      <c r="B176" s="59"/>
      <c r="C176" s="41" t="s">
        <v>530</v>
      </c>
      <c r="D176" s="49"/>
      <c r="E176" s="61">
        <f>5.53*0.73*0.73*3.85*0.5</f>
        <v>5.6728537250000004</v>
      </c>
    </row>
    <row r="177" spans="2:5" s="8" customFormat="1" x14ac:dyDescent="0.25">
      <c r="B177" s="59"/>
      <c r="C177" s="60" t="s">
        <v>533</v>
      </c>
      <c r="D177" s="49"/>
      <c r="E177" s="61"/>
    </row>
    <row r="178" spans="2:5" s="8" customFormat="1" x14ac:dyDescent="0.25">
      <c r="B178" s="59"/>
      <c r="C178" s="60" t="s">
        <v>534</v>
      </c>
      <c r="D178" s="49"/>
      <c r="E178" s="61">
        <f>0.8*0.5*1</f>
        <v>0.4</v>
      </c>
    </row>
    <row r="179" spans="2:5" s="8" customFormat="1" ht="9" customHeight="1" x14ac:dyDescent="0.25">
      <c r="B179" s="59"/>
      <c r="C179" s="60"/>
      <c r="D179" s="44"/>
      <c r="E179" s="50"/>
    </row>
    <row r="180" spans="2:5" s="8" customFormat="1" ht="17.25" x14ac:dyDescent="0.25">
      <c r="B180" s="59" t="s">
        <v>207</v>
      </c>
      <c r="C180" s="42" t="s">
        <v>8</v>
      </c>
      <c r="D180" s="40" t="s">
        <v>10</v>
      </c>
      <c r="E180" s="66">
        <f>E209+E181+E183+E185+E187+E189+E191+E192+E194+E195</f>
        <v>1518.34175</v>
      </c>
    </row>
    <row r="181" spans="2:5" s="8" customFormat="1" x14ac:dyDescent="0.25">
      <c r="B181" s="59"/>
      <c r="C181" s="41" t="s">
        <v>129</v>
      </c>
      <c r="D181" s="49"/>
      <c r="E181" s="61">
        <f>0.65*10.3</f>
        <v>6.6950000000000003</v>
      </c>
    </row>
    <row r="182" spans="2:5" s="8" customFormat="1" x14ac:dyDescent="0.25">
      <c r="B182" s="59"/>
      <c r="C182" s="41" t="s">
        <v>197</v>
      </c>
      <c r="D182" s="49"/>
      <c r="E182" s="61"/>
    </row>
    <row r="183" spans="2:5" s="8" customFormat="1" x14ac:dyDescent="0.25">
      <c r="B183" s="59"/>
      <c r="C183" s="41" t="s">
        <v>132</v>
      </c>
      <c r="D183" s="49"/>
      <c r="E183" s="61">
        <f>2.7*(5.5+4.9+4.4+1.1+3)</f>
        <v>51.03</v>
      </c>
    </row>
    <row r="184" spans="2:5" s="8" customFormat="1" x14ac:dyDescent="0.25">
      <c r="B184" s="59"/>
      <c r="C184" s="41" t="s">
        <v>200</v>
      </c>
      <c r="D184" s="49"/>
      <c r="E184" s="61"/>
    </row>
    <row r="185" spans="2:5" s="8" customFormat="1" ht="15" customHeight="1" x14ac:dyDescent="0.25">
      <c r="B185" s="59"/>
      <c r="C185" s="41" t="s">
        <v>130</v>
      </c>
      <c r="D185" s="49"/>
      <c r="E185" s="61">
        <f>2*(0.4+1.85)*2.7</f>
        <v>12.15</v>
      </c>
    </row>
    <row r="186" spans="2:5" s="8" customFormat="1" ht="15" customHeight="1" x14ac:dyDescent="0.25">
      <c r="B186" s="59"/>
      <c r="C186" s="41" t="s">
        <v>201</v>
      </c>
      <c r="D186" s="49"/>
      <c r="E186" s="61"/>
    </row>
    <row r="187" spans="2:5" s="8" customFormat="1" ht="15" customHeight="1" x14ac:dyDescent="0.25">
      <c r="B187" s="59"/>
      <c r="C187" s="41" t="s">
        <v>131</v>
      </c>
      <c r="D187" s="49"/>
      <c r="E187" s="61">
        <f>10.3*(0.8+0.8+0.8)+5*(1+0.8+0.8)</f>
        <v>37.720000000000006</v>
      </c>
    </row>
    <row r="188" spans="2:5" s="8" customFormat="1" ht="15" customHeight="1" x14ac:dyDescent="0.25">
      <c r="B188" s="59"/>
      <c r="C188" s="41" t="s">
        <v>196</v>
      </c>
      <c r="D188" s="49"/>
      <c r="E188" s="61"/>
    </row>
    <row r="189" spans="2:5" s="8" customFormat="1" ht="15" customHeight="1" x14ac:dyDescent="0.25">
      <c r="B189" s="59"/>
      <c r="C189" s="41" t="s">
        <v>133</v>
      </c>
      <c r="D189" s="49"/>
      <c r="E189" s="61">
        <f>SO_03_KL_2!G43</f>
        <v>1206.3567499999999</v>
      </c>
    </row>
    <row r="190" spans="2:5" s="8" customFormat="1" ht="15" customHeight="1" x14ac:dyDescent="0.25">
      <c r="B190" s="59"/>
      <c r="C190" s="41" t="s">
        <v>134</v>
      </c>
      <c r="D190" s="49"/>
      <c r="E190" s="61"/>
    </row>
    <row r="191" spans="2:5" s="8" customFormat="1" ht="15" customHeight="1" x14ac:dyDescent="0.25">
      <c r="B191" s="59"/>
      <c r="C191" s="41" t="s">
        <v>528</v>
      </c>
      <c r="D191" s="49"/>
      <c r="E191" s="61">
        <f>6.5*3.3+4.5*2.9</f>
        <v>34.5</v>
      </c>
    </row>
    <row r="192" spans="2:5" s="8" customFormat="1" ht="15" customHeight="1" x14ac:dyDescent="0.25">
      <c r="B192" s="59"/>
      <c r="C192" s="41" t="s">
        <v>138</v>
      </c>
      <c r="D192" s="49"/>
      <c r="E192" s="61">
        <f>23*6.15</f>
        <v>141.45000000000002</v>
      </c>
    </row>
    <row r="193" spans="2:5" s="8" customFormat="1" ht="15" customHeight="1" x14ac:dyDescent="0.25">
      <c r="B193" s="59"/>
      <c r="C193" s="41" t="s">
        <v>203</v>
      </c>
      <c r="D193" s="49"/>
      <c r="E193" s="61"/>
    </row>
    <row r="194" spans="2:5" s="8" customFormat="1" ht="15" customHeight="1" x14ac:dyDescent="0.25">
      <c r="B194" s="59"/>
      <c r="C194" s="41" t="s">
        <v>300</v>
      </c>
      <c r="D194" s="49"/>
      <c r="E194" s="61">
        <f>0.07*2*146</f>
        <v>20.440000000000001</v>
      </c>
    </row>
    <row r="195" spans="2:5" s="8" customFormat="1" ht="15" customHeight="1" x14ac:dyDescent="0.25">
      <c r="B195" s="59"/>
      <c r="C195" s="41" t="s">
        <v>525</v>
      </c>
      <c r="D195" s="49"/>
      <c r="E195" s="61">
        <v>8</v>
      </c>
    </row>
    <row r="196" spans="2:5" s="8" customFormat="1" ht="15" customHeight="1" x14ac:dyDescent="0.25">
      <c r="B196" s="59"/>
      <c r="C196" s="41"/>
      <c r="D196" s="49"/>
      <c r="E196" s="61"/>
    </row>
    <row r="197" spans="2:5" s="8" customFormat="1" ht="15" customHeight="1" x14ac:dyDescent="0.25">
      <c r="B197" s="59"/>
      <c r="C197" s="41"/>
      <c r="D197" s="49"/>
      <c r="E197" s="61"/>
    </row>
    <row r="198" spans="2:5" s="8" customFormat="1" ht="17.25" x14ac:dyDescent="0.25">
      <c r="B198" s="59" t="s">
        <v>208</v>
      </c>
      <c r="C198" s="42" t="s">
        <v>135</v>
      </c>
      <c r="D198" s="40" t="s">
        <v>10</v>
      </c>
      <c r="E198" s="66">
        <f>2*2.7*2*3.141592*0.3+2.7*3.141592*0.5</f>
        <v>14.419907280000002</v>
      </c>
    </row>
    <row r="199" spans="2:5" s="8" customFormat="1" x14ac:dyDescent="0.25">
      <c r="B199" s="59"/>
      <c r="C199" s="41" t="s">
        <v>136</v>
      </c>
      <c r="D199" s="40"/>
      <c r="E199" s="61"/>
    </row>
    <row r="200" spans="2:5" s="8" customFormat="1" x14ac:dyDescent="0.25">
      <c r="B200" s="59"/>
      <c r="C200" s="41" t="s">
        <v>139</v>
      </c>
      <c r="D200" s="40"/>
      <c r="E200" s="61"/>
    </row>
    <row r="201" spans="2:5" s="8" customFormat="1" x14ac:dyDescent="0.25">
      <c r="B201" s="59"/>
      <c r="C201" s="41"/>
      <c r="D201" s="40"/>
      <c r="E201" s="61"/>
    </row>
    <row r="202" spans="2:5" s="8" customFormat="1" x14ac:dyDescent="0.25">
      <c r="B202" s="59"/>
      <c r="C202" s="41" t="s">
        <v>137</v>
      </c>
      <c r="D202" s="40"/>
      <c r="E202" s="61"/>
    </row>
    <row r="203" spans="2:5" s="8" customFormat="1" x14ac:dyDescent="0.25">
      <c r="B203" s="59"/>
      <c r="C203" s="41" t="s">
        <v>139</v>
      </c>
      <c r="D203" s="40"/>
      <c r="E203" s="61"/>
    </row>
    <row r="204" spans="2:5" s="8" customFormat="1" x14ac:dyDescent="0.25">
      <c r="B204" s="59"/>
      <c r="C204" s="41"/>
      <c r="D204" s="40"/>
      <c r="E204" s="61"/>
    </row>
    <row r="205" spans="2:5" s="8" customFormat="1" x14ac:dyDescent="0.25">
      <c r="B205" s="59"/>
      <c r="C205" s="41" t="s">
        <v>198</v>
      </c>
      <c r="D205" s="40"/>
      <c r="E205" s="61"/>
    </row>
    <row r="206" spans="2:5" s="8" customFormat="1" x14ac:dyDescent="0.25">
      <c r="B206" s="59"/>
      <c r="C206" s="41" t="s">
        <v>199</v>
      </c>
      <c r="D206" s="40"/>
      <c r="E206" s="61"/>
    </row>
    <row r="207" spans="2:5" s="8" customFormat="1" x14ac:dyDescent="0.25">
      <c r="B207" s="59"/>
      <c r="C207" s="41"/>
      <c r="D207" s="40"/>
      <c r="E207" s="61"/>
    </row>
    <row r="208" spans="2:5" s="8" customFormat="1" ht="18.75" customHeight="1" x14ac:dyDescent="0.25">
      <c r="B208" s="59" t="s">
        <v>209</v>
      </c>
      <c r="C208" s="43" t="s">
        <v>202</v>
      </c>
      <c r="D208" s="40"/>
      <c r="E208" s="61">
        <f>14.5*2.7</f>
        <v>39.150000000000006</v>
      </c>
    </row>
    <row r="209" spans="2:5" s="8" customFormat="1" x14ac:dyDescent="0.25">
      <c r="B209" s="59"/>
      <c r="C209" s="41" t="s">
        <v>128</v>
      </c>
      <c r="D209" s="49"/>
      <c r="E209" s="61"/>
    </row>
    <row r="210" spans="2:5" s="8" customFormat="1" x14ac:dyDescent="0.25">
      <c r="B210" s="59"/>
      <c r="C210" s="41" t="s">
        <v>195</v>
      </c>
      <c r="D210" s="49"/>
      <c r="E210" s="61"/>
    </row>
    <row r="211" spans="2:5" s="8" customFormat="1" x14ac:dyDescent="0.25">
      <c r="B211" s="59"/>
      <c r="C211" s="41"/>
      <c r="D211" s="40"/>
      <c r="E211" s="61"/>
    </row>
    <row r="212" spans="2:5" s="8" customFormat="1" x14ac:dyDescent="0.25">
      <c r="B212" s="59" t="s">
        <v>210</v>
      </c>
      <c r="C212" s="43" t="s">
        <v>523</v>
      </c>
      <c r="D212" s="40"/>
      <c r="E212" s="61"/>
    </row>
    <row r="213" spans="2:5" s="8" customFormat="1" x14ac:dyDescent="0.25">
      <c r="B213" s="59"/>
      <c r="C213" s="41"/>
      <c r="D213" s="40"/>
      <c r="E213" s="61"/>
    </row>
    <row r="214" spans="2:5" s="8" customFormat="1" ht="17.25" x14ac:dyDescent="0.25">
      <c r="B214" s="59" t="s">
        <v>211</v>
      </c>
      <c r="C214" s="41" t="s">
        <v>127</v>
      </c>
      <c r="D214" s="49" t="s">
        <v>146</v>
      </c>
      <c r="E214" s="66">
        <f>E215+E217+E219+E221+E223</f>
        <v>835.03525000000002</v>
      </c>
    </row>
    <row r="215" spans="2:5" s="8" customFormat="1" ht="15" customHeight="1" x14ac:dyDescent="0.25">
      <c r="B215" s="59"/>
      <c r="C215" s="41" t="s">
        <v>128</v>
      </c>
      <c r="D215" s="49"/>
      <c r="E215" s="61">
        <f>14.5*2.7</f>
        <v>39.150000000000006</v>
      </c>
    </row>
    <row r="216" spans="2:5" s="8" customFormat="1" ht="15" customHeight="1" x14ac:dyDescent="0.25">
      <c r="B216" s="59"/>
      <c r="C216" s="41" t="s">
        <v>204</v>
      </c>
      <c r="D216" s="49"/>
      <c r="E216" s="61"/>
    </row>
    <row r="217" spans="2:5" s="8" customFormat="1" ht="15" customHeight="1" x14ac:dyDescent="0.25">
      <c r="B217" s="59"/>
      <c r="C217" s="41" t="s">
        <v>132</v>
      </c>
      <c r="D217" s="49"/>
      <c r="E217" s="61">
        <f>2.7*(5.5+4.9+4.4+1.1+3)</f>
        <v>51.03</v>
      </c>
    </row>
    <row r="218" spans="2:5" s="8" customFormat="1" ht="15" customHeight="1" x14ac:dyDescent="0.25">
      <c r="B218" s="59"/>
      <c r="C218" s="41" t="s">
        <v>200</v>
      </c>
      <c r="D218" s="49"/>
      <c r="E218" s="61"/>
    </row>
    <row r="219" spans="2:5" s="8" customFormat="1" ht="15" customHeight="1" x14ac:dyDescent="0.25">
      <c r="B219" s="59"/>
      <c r="C219" s="41" t="s">
        <v>130</v>
      </c>
      <c r="D219" s="49"/>
      <c r="E219" s="61">
        <f>2*(1+2.2)*2.7</f>
        <v>17.28</v>
      </c>
    </row>
    <row r="220" spans="2:5" s="8" customFormat="1" ht="15" customHeight="1" x14ac:dyDescent="0.25">
      <c r="B220" s="59"/>
      <c r="C220" s="41" t="s">
        <v>205</v>
      </c>
      <c r="D220" s="49"/>
      <c r="E220" s="61"/>
    </row>
    <row r="221" spans="2:5" s="8" customFormat="1" ht="15" customHeight="1" x14ac:dyDescent="0.25">
      <c r="B221" s="59"/>
      <c r="C221" s="41" t="s">
        <v>131</v>
      </c>
      <c r="D221" s="49"/>
      <c r="E221" s="61">
        <f>2*2.7*(5+10)</f>
        <v>81</v>
      </c>
    </row>
    <row r="222" spans="2:5" s="8" customFormat="1" ht="15" customHeight="1" x14ac:dyDescent="0.25">
      <c r="B222" s="59"/>
      <c r="C222" s="41" t="s">
        <v>206</v>
      </c>
      <c r="D222" s="49"/>
      <c r="E222" s="61"/>
    </row>
    <row r="223" spans="2:5" s="8" customFormat="1" ht="15" customHeight="1" x14ac:dyDescent="0.25">
      <c r="B223" s="59"/>
      <c r="C223" s="41" t="s">
        <v>133</v>
      </c>
      <c r="D223" s="49"/>
      <c r="E223" s="61">
        <f>SO_03_KL_2!J43</f>
        <v>646.57524999999998</v>
      </c>
    </row>
    <row r="224" spans="2:5" s="8" customFormat="1" ht="15" customHeight="1" x14ac:dyDescent="0.25">
      <c r="B224" s="59"/>
      <c r="C224" s="41" t="s">
        <v>134</v>
      </c>
      <c r="D224" s="49"/>
      <c r="E224" s="61"/>
    </row>
    <row r="225" spans="2:5" s="8" customFormat="1" ht="15" customHeight="1" x14ac:dyDescent="0.25">
      <c r="B225" s="59"/>
      <c r="C225" s="41"/>
      <c r="D225" s="49"/>
      <c r="E225" s="61"/>
    </row>
    <row r="226" spans="2:5" s="8" customFormat="1" ht="15" customHeight="1" x14ac:dyDescent="0.25">
      <c r="B226" s="59" t="s">
        <v>212</v>
      </c>
      <c r="C226" s="41" t="s">
        <v>301</v>
      </c>
      <c r="D226" s="49" t="s">
        <v>88</v>
      </c>
      <c r="E226" s="61">
        <v>1.21</v>
      </c>
    </row>
    <row r="227" spans="2:5" s="8" customFormat="1" ht="15" customHeight="1" x14ac:dyDescent="0.25">
      <c r="B227" s="59"/>
      <c r="C227" s="41" t="s">
        <v>302</v>
      </c>
      <c r="D227" s="49"/>
      <c r="E227" s="61"/>
    </row>
    <row r="228" spans="2:5" s="8" customFormat="1" ht="15" customHeight="1" x14ac:dyDescent="0.25">
      <c r="B228" s="59"/>
      <c r="C228" s="41"/>
      <c r="D228" s="49"/>
      <c r="E228" s="61"/>
    </row>
    <row r="229" spans="2:5" s="8" customFormat="1" ht="30" customHeight="1" x14ac:dyDescent="0.25">
      <c r="B229" s="59" t="s">
        <v>213</v>
      </c>
      <c r="C229" s="43" t="s">
        <v>303</v>
      </c>
      <c r="D229" s="49" t="s">
        <v>88</v>
      </c>
      <c r="E229" s="61">
        <f>0.4*0.18*4*(2.7+2.3)</f>
        <v>1.44</v>
      </c>
    </row>
    <row r="230" spans="2:5" s="8" customFormat="1" ht="15" customHeight="1" x14ac:dyDescent="0.25">
      <c r="B230" s="59"/>
      <c r="C230" s="41"/>
      <c r="D230" s="49"/>
      <c r="E230" s="61"/>
    </row>
    <row r="231" spans="2:5" s="8" customFormat="1" ht="48" customHeight="1" x14ac:dyDescent="0.25">
      <c r="B231" s="59" t="s">
        <v>214</v>
      </c>
      <c r="C231" s="43" t="s">
        <v>304</v>
      </c>
      <c r="D231" s="49" t="s">
        <v>11</v>
      </c>
      <c r="E231" s="61">
        <v>25</v>
      </c>
    </row>
    <row r="232" spans="2:5" s="8" customFormat="1" ht="15" customHeight="1" x14ac:dyDescent="0.25">
      <c r="B232" s="59"/>
      <c r="C232" s="41" t="s">
        <v>161</v>
      </c>
      <c r="D232" s="49"/>
      <c r="E232" s="61"/>
    </row>
    <row r="233" spans="2:5" s="8" customFormat="1" ht="15" customHeight="1" x14ac:dyDescent="0.25">
      <c r="B233" s="59"/>
      <c r="C233" s="41"/>
      <c r="D233" s="49"/>
      <c r="E233" s="61"/>
    </row>
    <row r="234" spans="2:5" s="8" customFormat="1" ht="52.5" customHeight="1" x14ac:dyDescent="0.25">
      <c r="B234" s="59" t="s">
        <v>215</v>
      </c>
      <c r="C234" s="43" t="s">
        <v>305</v>
      </c>
      <c r="D234" s="49" t="s">
        <v>11</v>
      </c>
      <c r="E234" s="61">
        <v>10</v>
      </c>
    </row>
    <row r="235" spans="2:5" s="8" customFormat="1" ht="15" customHeight="1" x14ac:dyDescent="0.25">
      <c r="B235" s="59"/>
      <c r="C235" s="41"/>
      <c r="D235" s="49"/>
      <c r="E235" s="61"/>
    </row>
    <row r="236" spans="2:5" s="8" customFormat="1" ht="44.25" customHeight="1" x14ac:dyDescent="0.25">
      <c r="B236" s="59" t="s">
        <v>216</v>
      </c>
      <c r="C236" s="43" t="s">
        <v>162</v>
      </c>
      <c r="D236" s="49" t="s">
        <v>84</v>
      </c>
      <c r="E236" s="61">
        <v>1</v>
      </c>
    </row>
    <row r="237" spans="2:5" s="8" customFormat="1" ht="15" customHeight="1" x14ac:dyDescent="0.25">
      <c r="B237" s="59"/>
      <c r="C237" s="41"/>
      <c r="D237" s="49"/>
      <c r="E237" s="61"/>
    </row>
    <row r="238" spans="2:5" s="8" customFormat="1" ht="63" customHeight="1" x14ac:dyDescent="0.25">
      <c r="B238" s="59" t="s">
        <v>217</v>
      </c>
      <c r="C238" s="43" t="s">
        <v>531</v>
      </c>
      <c r="D238" s="49" t="s">
        <v>93</v>
      </c>
      <c r="E238" s="187">
        <f>2*6*0.5*9</f>
        <v>54</v>
      </c>
    </row>
    <row r="239" spans="2:5" s="8" customFormat="1" ht="15" customHeight="1" x14ac:dyDescent="0.25">
      <c r="B239" s="59"/>
      <c r="C239" s="43"/>
      <c r="D239" s="49"/>
      <c r="E239" s="187"/>
    </row>
    <row r="240" spans="2:5" s="8" customFormat="1" ht="57.75" customHeight="1" x14ac:dyDescent="0.25">
      <c r="B240" s="59" t="s">
        <v>218</v>
      </c>
      <c r="C240" s="43" t="s">
        <v>306</v>
      </c>
      <c r="D240" s="49" t="s">
        <v>84</v>
      </c>
      <c r="E240" s="187">
        <v>2</v>
      </c>
    </row>
    <row r="241" spans="2:10" s="8" customFormat="1" ht="15" customHeight="1" x14ac:dyDescent="0.25">
      <c r="B241" s="59"/>
      <c r="C241" s="43"/>
      <c r="D241" s="49"/>
      <c r="E241" s="187"/>
    </row>
    <row r="242" spans="2:10" s="8" customFormat="1" ht="51" customHeight="1" x14ac:dyDescent="0.25">
      <c r="B242" s="59" t="s">
        <v>219</v>
      </c>
      <c r="C242" s="43" t="s">
        <v>182</v>
      </c>
      <c r="D242" s="49" t="s">
        <v>159</v>
      </c>
      <c r="E242" s="187">
        <v>1</v>
      </c>
      <c r="F242" s="205"/>
      <c r="G242" s="205"/>
      <c r="H242" s="205"/>
      <c r="I242" s="205"/>
      <c r="J242" s="205"/>
    </row>
    <row r="243" spans="2:10" s="8" customFormat="1" ht="15" customHeight="1" x14ac:dyDescent="0.25">
      <c r="B243" s="59"/>
      <c r="C243" s="43"/>
      <c r="D243" s="49"/>
      <c r="E243" s="187"/>
      <c r="F243" s="205"/>
      <c r="G243" s="205"/>
      <c r="H243" s="205"/>
      <c r="I243" s="205"/>
      <c r="J243" s="205"/>
    </row>
    <row r="244" spans="2:10" s="8" customFormat="1" ht="32.25" customHeight="1" x14ac:dyDescent="0.25">
      <c r="B244" s="59" t="s">
        <v>220</v>
      </c>
      <c r="C244" s="43" t="s">
        <v>532</v>
      </c>
      <c r="D244" s="49" t="s">
        <v>92</v>
      </c>
      <c r="E244" s="187">
        <v>5</v>
      </c>
      <c r="F244" s="205"/>
      <c r="G244" s="205"/>
      <c r="H244" s="205"/>
      <c r="I244" s="205"/>
      <c r="J244" s="205"/>
    </row>
    <row r="245" spans="2:10" s="8" customFormat="1" ht="15" customHeight="1" x14ac:dyDescent="0.25">
      <c r="B245" s="59"/>
      <c r="C245" s="43"/>
      <c r="D245" s="49"/>
      <c r="E245" s="187"/>
      <c r="F245" s="205"/>
      <c r="G245" s="205"/>
      <c r="H245" s="205"/>
      <c r="I245" s="205"/>
      <c r="J245" s="205"/>
    </row>
    <row r="246" spans="2:10" s="8" customFormat="1" ht="84" customHeight="1" x14ac:dyDescent="0.25">
      <c r="B246" s="59" t="s">
        <v>221</v>
      </c>
      <c r="C246" s="43" t="s">
        <v>520</v>
      </c>
      <c r="D246" s="49" t="s">
        <v>84</v>
      </c>
      <c r="E246" s="61">
        <v>1</v>
      </c>
      <c r="F246" s="205"/>
      <c r="G246" s="205"/>
      <c r="H246" s="205"/>
      <c r="I246" s="205"/>
      <c r="J246" s="205"/>
    </row>
    <row r="247" spans="2:10" s="8" customFormat="1" ht="15" customHeight="1" x14ac:dyDescent="0.25">
      <c r="B247" s="59"/>
      <c r="C247" s="43"/>
      <c r="D247" s="49"/>
      <c r="E247" s="187"/>
      <c r="F247" s="205"/>
      <c r="G247" s="205"/>
      <c r="H247" s="205"/>
      <c r="I247" s="205"/>
      <c r="J247" s="205"/>
    </row>
    <row r="248" spans="2:10" s="8" customFormat="1" ht="29.25" customHeight="1" x14ac:dyDescent="0.25">
      <c r="B248" s="59" t="s">
        <v>222</v>
      </c>
      <c r="C248" s="43" t="s">
        <v>308</v>
      </c>
      <c r="D248" s="49" t="s">
        <v>92</v>
      </c>
      <c r="E248" s="188">
        <v>1.7</v>
      </c>
      <c r="F248" s="205"/>
      <c r="G248" s="205"/>
      <c r="H248" s="205"/>
      <c r="I248" s="205"/>
      <c r="J248" s="205"/>
    </row>
    <row r="249" spans="2:10" s="8" customFormat="1" ht="15" customHeight="1" x14ac:dyDescent="0.25">
      <c r="B249" s="59"/>
      <c r="C249" s="43"/>
      <c r="D249" s="49"/>
      <c r="E249" s="187"/>
      <c r="F249" s="205"/>
      <c r="G249" s="205"/>
      <c r="H249" s="205"/>
      <c r="I249" s="205"/>
      <c r="J249" s="205"/>
    </row>
    <row r="250" spans="2:10" s="8" customFormat="1" ht="15" customHeight="1" x14ac:dyDescent="0.25">
      <c r="B250" s="59" t="s">
        <v>240</v>
      </c>
      <c r="C250" s="43" t="s">
        <v>239</v>
      </c>
      <c r="D250" s="49" t="s">
        <v>307</v>
      </c>
      <c r="E250" s="187">
        <f>E174*120/1000</f>
        <v>114.69274244699999</v>
      </c>
      <c r="F250" s="205"/>
      <c r="G250" s="205"/>
      <c r="H250" s="205"/>
      <c r="I250" s="205"/>
      <c r="J250" s="205"/>
    </row>
    <row r="251" spans="2:10" s="8" customFormat="1" ht="15" customHeight="1" x14ac:dyDescent="0.25">
      <c r="B251" s="59"/>
      <c r="C251" s="43" t="s">
        <v>514</v>
      </c>
      <c r="D251" s="49"/>
      <c r="E251" s="187"/>
      <c r="F251" s="205"/>
      <c r="G251" s="205"/>
      <c r="H251" s="205"/>
      <c r="I251" s="205"/>
      <c r="J251" s="205"/>
    </row>
    <row r="252" spans="2:10" s="8" customFormat="1" ht="15" customHeight="1" x14ac:dyDescent="0.25">
      <c r="B252" s="59"/>
      <c r="C252" s="43"/>
      <c r="D252" s="49"/>
      <c r="E252" s="187"/>
    </row>
    <row r="253" spans="2:10" s="8" customFormat="1" ht="15" customHeight="1" x14ac:dyDescent="0.25">
      <c r="B253" s="59" t="s">
        <v>257</v>
      </c>
      <c r="C253" s="43" t="s">
        <v>263</v>
      </c>
      <c r="D253" s="49" t="s">
        <v>92</v>
      </c>
      <c r="E253" s="187">
        <f>23*6.15+3.75+15.6*0.6+8*1</f>
        <v>162.56</v>
      </c>
    </row>
    <row r="254" spans="2:10" s="8" customFormat="1" ht="34.5" customHeight="1" x14ac:dyDescent="0.25">
      <c r="B254" s="59"/>
      <c r="C254" s="207" t="s">
        <v>524</v>
      </c>
      <c r="D254" s="49"/>
      <c r="E254" s="187"/>
    </row>
    <row r="255" spans="2:10" s="8" customFormat="1" ht="15" customHeight="1" x14ac:dyDescent="0.25">
      <c r="B255" s="59"/>
      <c r="C255" s="41"/>
      <c r="D255" s="49"/>
      <c r="E255" s="187"/>
    </row>
    <row r="256" spans="2:10" s="8" customFormat="1" ht="31.5" customHeight="1" x14ac:dyDescent="0.25">
      <c r="B256" s="59" t="s">
        <v>258</v>
      </c>
      <c r="C256" s="43" t="s">
        <v>259</v>
      </c>
      <c r="D256" s="49" t="s">
        <v>11</v>
      </c>
      <c r="E256" s="187">
        <f>24*13+3.5</f>
        <v>315.5</v>
      </c>
    </row>
    <row r="257" spans="2:5" s="8" customFormat="1" ht="15" customHeight="1" x14ac:dyDescent="0.25">
      <c r="B257" s="59"/>
      <c r="C257" s="41" t="s">
        <v>309</v>
      </c>
      <c r="D257" s="49"/>
      <c r="E257" s="187"/>
    </row>
    <row r="258" spans="2:5" s="8" customFormat="1" ht="15" customHeight="1" x14ac:dyDescent="0.25">
      <c r="B258" s="59"/>
      <c r="C258" s="41"/>
      <c r="D258" s="49"/>
      <c r="E258" s="187"/>
    </row>
    <row r="259" spans="2:5" s="8" customFormat="1" ht="33" customHeight="1" x14ac:dyDescent="0.25">
      <c r="B259" s="59" t="s">
        <v>313</v>
      </c>
      <c r="C259" s="43" t="s">
        <v>314</v>
      </c>
      <c r="D259" s="49" t="s">
        <v>92</v>
      </c>
      <c r="E259" s="187">
        <v>15</v>
      </c>
    </row>
    <row r="260" spans="2:5" s="8" customFormat="1" ht="15" customHeight="1" x14ac:dyDescent="0.25">
      <c r="B260" s="59"/>
      <c r="C260" s="43"/>
      <c r="D260" s="49"/>
      <c r="E260" s="187"/>
    </row>
    <row r="261" spans="2:5" s="8" customFormat="1" ht="75" customHeight="1" x14ac:dyDescent="0.25">
      <c r="B261" s="59" t="s">
        <v>315</v>
      </c>
      <c r="C261" s="43" t="s">
        <v>316</v>
      </c>
      <c r="D261" s="49" t="s">
        <v>84</v>
      </c>
      <c r="E261" s="187">
        <v>1</v>
      </c>
    </row>
    <row r="262" spans="2:5" s="8" customFormat="1" x14ac:dyDescent="0.25">
      <c r="B262" s="59"/>
      <c r="C262" s="43"/>
      <c r="D262" s="49"/>
      <c r="E262" s="187"/>
    </row>
    <row r="263" spans="2:5" s="8" customFormat="1" ht="45" x14ac:dyDescent="0.25">
      <c r="B263" s="59" t="s">
        <v>512</v>
      </c>
      <c r="C263" s="43" t="s">
        <v>513</v>
      </c>
      <c r="D263" s="49" t="s">
        <v>93</v>
      </c>
      <c r="E263" s="187">
        <v>20</v>
      </c>
    </row>
    <row r="264" spans="2:5" s="8" customFormat="1" x14ac:dyDescent="0.25">
      <c r="B264" s="59"/>
      <c r="C264" s="43"/>
      <c r="D264" s="49"/>
      <c r="E264" s="187"/>
    </row>
    <row r="265" spans="2:5" s="8" customFormat="1" ht="30" x14ac:dyDescent="0.25">
      <c r="B265" s="59" t="s">
        <v>526</v>
      </c>
      <c r="C265" s="43" t="s">
        <v>527</v>
      </c>
      <c r="D265" s="49" t="s">
        <v>88</v>
      </c>
      <c r="E265" s="187">
        <v>3.5</v>
      </c>
    </row>
    <row r="266" spans="2:5" s="8" customFormat="1" x14ac:dyDescent="0.25">
      <c r="B266" s="59"/>
      <c r="C266" s="43"/>
      <c r="D266" s="49"/>
      <c r="E266" s="187"/>
    </row>
    <row r="267" spans="2:5" s="8" customFormat="1" ht="30" x14ac:dyDescent="0.25">
      <c r="B267" s="59" t="s">
        <v>535</v>
      </c>
      <c r="C267" s="43" t="s">
        <v>536</v>
      </c>
      <c r="D267" s="49" t="s">
        <v>92</v>
      </c>
      <c r="E267" s="187">
        <v>50</v>
      </c>
    </row>
    <row r="268" spans="2:5" s="8" customFormat="1" x14ac:dyDescent="0.25">
      <c r="B268" s="59"/>
      <c r="C268" s="43"/>
      <c r="D268" s="49"/>
      <c r="E268" s="187"/>
    </row>
    <row r="269" spans="2:5" s="8" customFormat="1" ht="15" customHeight="1" x14ac:dyDescent="0.25">
      <c r="B269" s="59"/>
      <c r="C269" s="43"/>
      <c r="D269" s="40"/>
      <c r="E269" s="187"/>
    </row>
    <row r="270" spans="2:5" s="8" customFormat="1" ht="15" customHeight="1" x14ac:dyDescent="0.25">
      <c r="B270" s="232" t="s">
        <v>225</v>
      </c>
      <c r="C270" s="233" t="s">
        <v>149</v>
      </c>
      <c r="D270" s="239"/>
      <c r="E270" s="240"/>
    </row>
    <row r="271" spans="2:5" s="8" customFormat="1" ht="15" customHeight="1" x14ac:dyDescent="0.25">
      <c r="B271" s="59"/>
      <c r="C271" s="41"/>
      <c r="D271" s="49"/>
      <c r="E271" s="61"/>
    </row>
    <row r="272" spans="2:5" s="8" customFormat="1" x14ac:dyDescent="0.25">
      <c r="B272" s="59"/>
      <c r="C272" s="43"/>
      <c r="D272" s="49"/>
      <c r="E272" s="61"/>
    </row>
    <row r="273" spans="2:5" s="8" customFormat="1" ht="45" customHeight="1" x14ac:dyDescent="0.25">
      <c r="B273" s="59" t="s">
        <v>153</v>
      </c>
      <c r="C273" s="43" t="s">
        <v>256</v>
      </c>
      <c r="D273" s="49" t="s">
        <v>84</v>
      </c>
      <c r="E273" s="61">
        <v>1</v>
      </c>
    </row>
    <row r="274" spans="2:5" s="8" customFormat="1" x14ac:dyDescent="0.25">
      <c r="B274" s="59"/>
      <c r="C274" s="41"/>
      <c r="D274" s="49"/>
      <c r="E274" s="61"/>
    </row>
    <row r="275" spans="2:5" s="8" customFormat="1" ht="51" customHeight="1" x14ac:dyDescent="0.25">
      <c r="B275" s="59" t="s">
        <v>154</v>
      </c>
      <c r="C275" s="43" t="s">
        <v>255</v>
      </c>
      <c r="D275" s="49" t="s">
        <v>84</v>
      </c>
      <c r="E275" s="61">
        <v>1</v>
      </c>
    </row>
    <row r="276" spans="2:5" s="8" customFormat="1" x14ac:dyDescent="0.25">
      <c r="B276" s="59"/>
      <c r="C276" s="41"/>
      <c r="D276" s="49"/>
      <c r="E276" s="61"/>
    </row>
    <row r="277" spans="2:5" s="1" customFormat="1" ht="30" x14ac:dyDescent="0.25">
      <c r="B277" s="59" t="s">
        <v>155</v>
      </c>
      <c r="C277" s="43" t="s">
        <v>312</v>
      </c>
      <c r="D277" s="182" t="s">
        <v>11</v>
      </c>
      <c r="E277" s="190">
        <v>49</v>
      </c>
    </row>
    <row r="278" spans="2:5" s="1" customFormat="1" x14ac:dyDescent="0.25">
      <c r="B278" s="59"/>
      <c r="C278" s="41"/>
      <c r="D278" s="49"/>
      <c r="E278" s="64"/>
    </row>
    <row r="279" spans="2:5" s="1" customFormat="1" x14ac:dyDescent="0.25">
      <c r="B279" s="59"/>
      <c r="C279" s="41"/>
      <c r="D279" s="49"/>
      <c r="E279" s="64"/>
    </row>
    <row r="280" spans="2:5" s="1" customFormat="1" ht="30" x14ac:dyDescent="0.25">
      <c r="B280" s="59" t="s">
        <v>241</v>
      </c>
      <c r="C280" s="219" t="s">
        <v>545</v>
      </c>
      <c r="D280" s="49" t="s">
        <v>11</v>
      </c>
      <c r="E280" s="64">
        <v>146</v>
      </c>
    </row>
    <row r="281" spans="2:5" s="1" customFormat="1" ht="75" x14ac:dyDescent="0.25">
      <c r="B281" s="59"/>
      <c r="C281" s="43" t="s">
        <v>546</v>
      </c>
      <c r="D281" s="49"/>
      <c r="E281" s="64"/>
    </row>
    <row r="282" spans="2:5" s="1" customFormat="1" x14ac:dyDescent="0.25">
      <c r="B282" s="59"/>
      <c r="C282" s="43"/>
      <c r="D282" s="49"/>
      <c r="E282" s="64"/>
    </row>
    <row r="283" spans="2:5" s="1" customFormat="1" x14ac:dyDescent="0.25">
      <c r="B283" s="59" t="s">
        <v>156</v>
      </c>
      <c r="C283" s="219" t="s">
        <v>181</v>
      </c>
      <c r="D283" s="49" t="s">
        <v>93</v>
      </c>
      <c r="E283" s="64">
        <v>2</v>
      </c>
    </row>
    <row r="284" spans="2:5" s="1" customFormat="1" x14ac:dyDescent="0.25">
      <c r="B284" s="59"/>
      <c r="C284" s="43"/>
      <c r="D284" s="49"/>
      <c r="E284" s="64"/>
    </row>
    <row r="285" spans="2:5" s="1" customFormat="1" x14ac:dyDescent="0.25">
      <c r="B285" s="181" t="s">
        <v>242</v>
      </c>
      <c r="C285" s="206" t="s">
        <v>562</v>
      </c>
      <c r="D285" s="182" t="s">
        <v>84</v>
      </c>
      <c r="E285" s="190">
        <v>1</v>
      </c>
    </row>
    <row r="286" spans="2:5" s="1" customFormat="1" ht="60.75" x14ac:dyDescent="0.25">
      <c r="B286" s="181"/>
      <c r="C286" s="221" t="s">
        <v>563</v>
      </c>
      <c r="D286" s="182"/>
      <c r="E286" s="190"/>
    </row>
    <row r="287" spans="2:5" s="1" customFormat="1" x14ac:dyDescent="0.25">
      <c r="B287" s="181"/>
      <c r="C287" s="206"/>
      <c r="D287" s="182"/>
      <c r="E287" s="190"/>
    </row>
    <row r="288" spans="2:5" s="1" customFormat="1" ht="75" x14ac:dyDescent="0.25">
      <c r="B288" s="181" t="s">
        <v>243</v>
      </c>
      <c r="C288" s="74" t="s">
        <v>561</v>
      </c>
      <c r="D288" s="182" t="s">
        <v>84</v>
      </c>
      <c r="E288" s="190">
        <v>1</v>
      </c>
    </row>
    <row r="289" spans="2:5" s="1" customFormat="1" x14ac:dyDescent="0.25">
      <c r="B289" s="59"/>
      <c r="C289" s="43"/>
      <c r="D289" s="49"/>
      <c r="E289" s="64"/>
    </row>
    <row r="290" spans="2:5" s="1" customFormat="1" x14ac:dyDescent="0.25">
      <c r="B290" s="59"/>
      <c r="C290" s="41"/>
      <c r="D290" s="49"/>
      <c r="E290" s="64"/>
    </row>
    <row r="291" spans="2:5" s="1" customFormat="1" x14ac:dyDescent="0.25">
      <c r="B291" s="232" t="s">
        <v>226</v>
      </c>
      <c r="C291" s="233" t="s">
        <v>163</v>
      </c>
      <c r="D291" s="234"/>
      <c r="E291" s="241"/>
    </row>
    <row r="292" spans="2:5" s="1" customFormat="1" ht="30" x14ac:dyDescent="0.25">
      <c r="B292" s="59" t="s">
        <v>158</v>
      </c>
      <c r="C292" s="43" t="s">
        <v>547</v>
      </c>
      <c r="D292" s="49" t="s">
        <v>88</v>
      </c>
      <c r="E292" s="61">
        <f>145*0.6*0.8+6*0.4*0.8*0.8</f>
        <v>71.13600000000001</v>
      </c>
    </row>
    <row r="293" spans="2:5" s="1" customFormat="1" x14ac:dyDescent="0.25">
      <c r="B293" s="59"/>
      <c r="C293" s="41" t="s">
        <v>171</v>
      </c>
      <c r="D293" s="49"/>
      <c r="E293" s="64"/>
    </row>
    <row r="294" spans="2:5" s="1" customFormat="1" x14ac:dyDescent="0.25">
      <c r="B294" s="59"/>
      <c r="C294" s="41"/>
      <c r="D294" s="49"/>
      <c r="E294" s="64"/>
    </row>
    <row r="295" spans="2:5" s="1" customFormat="1" x14ac:dyDescent="0.25">
      <c r="B295" s="59" t="s">
        <v>172</v>
      </c>
      <c r="C295" s="41" t="s">
        <v>164</v>
      </c>
      <c r="D295" s="49" t="s">
        <v>11</v>
      </c>
      <c r="E295" s="64">
        <v>145</v>
      </c>
    </row>
    <row r="296" spans="2:5" s="1" customFormat="1" x14ac:dyDescent="0.25">
      <c r="B296" s="59"/>
      <c r="C296" s="41"/>
      <c r="D296" s="49"/>
      <c r="E296" s="64"/>
    </row>
    <row r="297" spans="2:5" s="1" customFormat="1" x14ac:dyDescent="0.25">
      <c r="B297" s="59" t="s">
        <v>173</v>
      </c>
      <c r="C297" s="41" t="s">
        <v>522</v>
      </c>
      <c r="D297" s="49" t="s">
        <v>11</v>
      </c>
      <c r="E297" s="64">
        <f>2*145</f>
        <v>290</v>
      </c>
    </row>
    <row r="298" spans="2:5" s="1" customFormat="1" x14ac:dyDescent="0.25">
      <c r="B298" s="59"/>
      <c r="C298" s="41"/>
      <c r="D298" s="49"/>
      <c r="E298" s="64"/>
    </row>
    <row r="299" spans="2:5" s="1" customFormat="1" x14ac:dyDescent="0.25">
      <c r="B299" s="59" t="s">
        <v>174</v>
      </c>
      <c r="C299" s="41" t="s">
        <v>165</v>
      </c>
      <c r="D299" s="49" t="s">
        <v>11</v>
      </c>
      <c r="E299" s="64">
        <v>30</v>
      </c>
    </row>
    <row r="300" spans="2:5" s="1" customFormat="1" x14ac:dyDescent="0.25">
      <c r="B300" s="59"/>
      <c r="C300" s="41"/>
      <c r="D300" s="49"/>
      <c r="E300" s="64"/>
    </row>
    <row r="301" spans="2:5" s="1" customFormat="1" x14ac:dyDescent="0.25">
      <c r="B301" s="59" t="s">
        <v>175</v>
      </c>
      <c r="C301" s="41" t="s">
        <v>166</v>
      </c>
      <c r="D301" s="49" t="s">
        <v>88</v>
      </c>
      <c r="E301" s="61">
        <f>145*0.24*0.6</f>
        <v>20.88</v>
      </c>
    </row>
    <row r="302" spans="2:5" s="1" customFormat="1" x14ac:dyDescent="0.25">
      <c r="B302" s="59"/>
      <c r="C302" s="41"/>
      <c r="D302" s="49"/>
      <c r="E302" s="64"/>
    </row>
    <row r="303" spans="2:5" s="1" customFormat="1" x14ac:dyDescent="0.25">
      <c r="B303" s="59" t="s">
        <v>176</v>
      </c>
      <c r="C303" s="41" t="s">
        <v>167</v>
      </c>
      <c r="D303" s="49" t="s">
        <v>11</v>
      </c>
      <c r="E303" s="64">
        <v>155</v>
      </c>
    </row>
    <row r="304" spans="2:5" s="1" customFormat="1" x14ac:dyDescent="0.25">
      <c r="B304" s="59"/>
      <c r="C304" s="41"/>
      <c r="D304" s="49"/>
      <c r="E304" s="64"/>
    </row>
    <row r="305" spans="2:5" s="1" customFormat="1" x14ac:dyDescent="0.25">
      <c r="B305" s="59" t="s">
        <v>177</v>
      </c>
      <c r="C305" s="41" t="s">
        <v>168</v>
      </c>
      <c r="D305" s="49" t="s">
        <v>11</v>
      </c>
      <c r="E305" s="64">
        <v>155</v>
      </c>
    </row>
    <row r="306" spans="2:5" s="1" customFormat="1" x14ac:dyDescent="0.25">
      <c r="B306" s="59"/>
      <c r="C306" s="41"/>
      <c r="D306" s="49"/>
      <c r="E306" s="64"/>
    </row>
    <row r="307" spans="2:5" s="1" customFormat="1" ht="30" x14ac:dyDescent="0.25">
      <c r="B307" s="59" t="s">
        <v>178</v>
      </c>
      <c r="C307" s="43" t="s">
        <v>169</v>
      </c>
      <c r="D307" s="49" t="s">
        <v>88</v>
      </c>
      <c r="E307" s="64">
        <f>145*0.6*0.6</f>
        <v>52.199999999999996</v>
      </c>
    </row>
    <row r="308" spans="2:5" s="1" customFormat="1" x14ac:dyDescent="0.25">
      <c r="B308" s="59"/>
      <c r="C308" s="41"/>
      <c r="D308" s="49"/>
      <c r="E308" s="64"/>
    </row>
    <row r="309" spans="2:5" s="1" customFormat="1" ht="45" x14ac:dyDescent="0.25">
      <c r="B309" s="59" t="s">
        <v>179</v>
      </c>
      <c r="C309" s="43" t="s">
        <v>170</v>
      </c>
      <c r="D309" s="49" t="s">
        <v>93</v>
      </c>
      <c r="E309" s="64">
        <v>5</v>
      </c>
    </row>
    <row r="310" spans="2:5" s="1" customFormat="1" x14ac:dyDescent="0.25">
      <c r="B310" s="59"/>
      <c r="C310" s="41"/>
      <c r="D310" s="49"/>
      <c r="E310" s="64"/>
    </row>
    <row r="311" spans="2:5" x14ac:dyDescent="0.25">
      <c r="B311" s="59"/>
      <c r="C311" s="41"/>
      <c r="D311" s="49"/>
      <c r="E311" s="64"/>
    </row>
    <row r="312" spans="2:5" x14ac:dyDescent="0.25">
      <c r="B312" s="232" t="s">
        <v>227</v>
      </c>
      <c r="C312" s="242" t="s">
        <v>157</v>
      </c>
      <c r="D312" s="234"/>
      <c r="E312" s="241"/>
    </row>
    <row r="313" spans="2:5" s="1" customFormat="1" ht="63.75" customHeight="1" x14ac:dyDescent="0.25">
      <c r="B313" s="59" t="s">
        <v>180</v>
      </c>
      <c r="C313" s="43" t="s">
        <v>318</v>
      </c>
      <c r="D313" s="49" t="s">
        <v>84</v>
      </c>
      <c r="E313" s="64">
        <v>1</v>
      </c>
    </row>
    <row r="314" spans="2:5" x14ac:dyDescent="0.25">
      <c r="B314" s="208"/>
      <c r="C314" s="206"/>
      <c r="D314" s="206"/>
      <c r="E314" s="209"/>
    </row>
    <row r="315" spans="2:5" x14ac:dyDescent="0.25">
      <c r="B315" s="243" t="s">
        <v>320</v>
      </c>
      <c r="C315" s="244" t="s">
        <v>321</v>
      </c>
      <c r="D315" s="244"/>
      <c r="E315" s="245"/>
    </row>
    <row r="316" spans="2:5" x14ac:dyDescent="0.25">
      <c r="B316" s="179"/>
      <c r="C316" s="178"/>
      <c r="D316" s="178"/>
      <c r="E316" s="180"/>
    </row>
    <row r="317" spans="2:5" x14ac:dyDescent="0.25">
      <c r="B317" s="246" t="s">
        <v>499</v>
      </c>
      <c r="C317" s="244" t="s">
        <v>260</v>
      </c>
      <c r="D317" s="244"/>
      <c r="E317" s="245"/>
    </row>
    <row r="318" spans="2:5" x14ac:dyDescent="0.25">
      <c r="B318" s="179" t="s">
        <v>3</v>
      </c>
      <c r="C318" s="178" t="s">
        <v>4</v>
      </c>
      <c r="D318" s="210" t="s">
        <v>5</v>
      </c>
      <c r="E318" s="211" t="s">
        <v>326</v>
      </c>
    </row>
    <row r="319" spans="2:5" x14ac:dyDescent="0.25">
      <c r="B319" s="179"/>
      <c r="C319" s="178"/>
      <c r="D319" s="178"/>
      <c r="E319" s="180"/>
    </row>
    <row r="320" spans="2:5" ht="30" x14ac:dyDescent="0.25">
      <c r="B320" s="181" t="s">
        <v>330</v>
      </c>
      <c r="C320" s="74" t="s">
        <v>498</v>
      </c>
      <c r="D320" s="182" t="s">
        <v>88</v>
      </c>
      <c r="E320" s="183">
        <v>44.928450000000012</v>
      </c>
    </row>
    <row r="321" spans="2:5" ht="30" x14ac:dyDescent="0.25">
      <c r="B321" s="181" t="s">
        <v>352</v>
      </c>
      <c r="C321" s="74" t="s">
        <v>353</v>
      </c>
      <c r="D321" s="182" t="s">
        <v>88</v>
      </c>
      <c r="E321" s="183">
        <v>11.232112500000003</v>
      </c>
    </row>
    <row r="322" spans="2:5" ht="30" x14ac:dyDescent="0.25">
      <c r="B322" s="181" t="s">
        <v>365</v>
      </c>
      <c r="C322" s="74" t="s">
        <v>366</v>
      </c>
      <c r="D322" s="182" t="s">
        <v>88</v>
      </c>
      <c r="E322" s="183">
        <v>35.942760000000014</v>
      </c>
    </row>
    <row r="323" spans="2:5" ht="30" x14ac:dyDescent="0.25">
      <c r="B323" s="181" t="s">
        <v>368</v>
      </c>
      <c r="C323" s="74" t="s">
        <v>369</v>
      </c>
      <c r="D323" s="182" t="s">
        <v>88</v>
      </c>
      <c r="E323" s="183">
        <v>8.9856900000000035</v>
      </c>
    </row>
    <row r="324" spans="2:5" ht="30" x14ac:dyDescent="0.25">
      <c r="B324" s="181" t="s">
        <v>371</v>
      </c>
      <c r="C324" s="74" t="s">
        <v>372</v>
      </c>
      <c r="D324" s="182" t="s">
        <v>88</v>
      </c>
      <c r="E324" s="183">
        <v>3.3696337500000006</v>
      </c>
    </row>
    <row r="325" spans="2:5" ht="30" x14ac:dyDescent="0.25">
      <c r="B325" s="181" t="s">
        <v>374</v>
      </c>
      <c r="C325" s="74" t="s">
        <v>375</v>
      </c>
      <c r="D325" s="182" t="s">
        <v>88</v>
      </c>
      <c r="E325" s="183">
        <v>7.862478750000002</v>
      </c>
    </row>
    <row r="326" spans="2:5" x14ac:dyDescent="0.25">
      <c r="B326" s="181" t="s">
        <v>377</v>
      </c>
      <c r="C326" s="74" t="s">
        <v>378</v>
      </c>
      <c r="D326" s="182" t="s">
        <v>92</v>
      </c>
      <c r="E326" s="183">
        <v>40.4</v>
      </c>
    </row>
    <row r="327" spans="2:5" x14ac:dyDescent="0.25">
      <c r="B327" s="181" t="s">
        <v>382</v>
      </c>
      <c r="C327" s="74" t="s">
        <v>383</v>
      </c>
      <c r="D327" s="182" t="s">
        <v>92</v>
      </c>
      <c r="E327" s="183">
        <v>31.8</v>
      </c>
    </row>
    <row r="328" spans="2:5" x14ac:dyDescent="0.25">
      <c r="B328" s="181" t="s">
        <v>385</v>
      </c>
      <c r="C328" s="74" t="s">
        <v>386</v>
      </c>
      <c r="D328" s="182" t="s">
        <v>88</v>
      </c>
      <c r="E328" s="183">
        <v>12.939615999999999</v>
      </c>
    </row>
    <row r="329" spans="2:5" ht="30" x14ac:dyDescent="0.25">
      <c r="B329" s="181" t="s">
        <v>390</v>
      </c>
      <c r="C329" s="74" t="s">
        <v>391</v>
      </c>
      <c r="D329" s="182" t="s">
        <v>88</v>
      </c>
      <c r="E329" s="183">
        <v>2.1</v>
      </c>
    </row>
    <row r="330" spans="2:5" ht="30" x14ac:dyDescent="0.25">
      <c r="B330" s="181" t="s">
        <v>394</v>
      </c>
      <c r="C330" s="74" t="s">
        <v>395</v>
      </c>
      <c r="D330" s="182" t="s">
        <v>88</v>
      </c>
      <c r="E330" s="183">
        <v>6.3</v>
      </c>
    </row>
    <row r="331" spans="2:5" x14ac:dyDescent="0.25">
      <c r="B331" s="181" t="s">
        <v>397</v>
      </c>
      <c r="C331" s="74" t="s">
        <v>398</v>
      </c>
      <c r="D331" s="182" t="s">
        <v>11</v>
      </c>
      <c r="E331" s="183">
        <v>19.8</v>
      </c>
    </row>
    <row r="332" spans="2:5" x14ac:dyDescent="0.25">
      <c r="B332" s="181" t="s">
        <v>400</v>
      </c>
      <c r="C332" s="74" t="s">
        <v>401</v>
      </c>
      <c r="D332" s="182" t="s">
        <v>88</v>
      </c>
      <c r="E332" s="183">
        <v>26.468395780000012</v>
      </c>
    </row>
    <row r="333" spans="2:5" x14ac:dyDescent="0.25">
      <c r="B333" s="181" t="s">
        <v>411</v>
      </c>
      <c r="C333" s="74" t="s">
        <v>523</v>
      </c>
      <c r="D333" s="182"/>
      <c r="E333" s="183"/>
    </row>
    <row r="334" spans="2:5" x14ac:dyDescent="0.25">
      <c r="B334" s="181" t="s">
        <v>415</v>
      </c>
      <c r="C334" s="74" t="s">
        <v>523</v>
      </c>
      <c r="D334" s="182"/>
      <c r="E334" s="183"/>
    </row>
    <row r="335" spans="2:5" ht="30" x14ac:dyDescent="0.25">
      <c r="B335" s="181" t="s">
        <v>417</v>
      </c>
      <c r="C335" s="74" t="s">
        <v>418</v>
      </c>
      <c r="D335" s="182" t="s">
        <v>88</v>
      </c>
      <c r="E335" s="183">
        <v>2.7</v>
      </c>
    </row>
    <row r="336" spans="2:5" ht="30" x14ac:dyDescent="0.25">
      <c r="B336" s="181" t="s">
        <v>420</v>
      </c>
      <c r="C336" s="74" t="s">
        <v>421</v>
      </c>
      <c r="D336" s="182" t="s">
        <v>88</v>
      </c>
      <c r="E336" s="183">
        <v>2.7</v>
      </c>
    </row>
    <row r="337" spans="2:5" ht="30" x14ac:dyDescent="0.25">
      <c r="B337" s="181" t="s">
        <v>423</v>
      </c>
      <c r="C337" s="74" t="s">
        <v>424</v>
      </c>
      <c r="D337" s="182" t="s">
        <v>88</v>
      </c>
      <c r="E337" s="183">
        <v>0.45</v>
      </c>
    </row>
    <row r="338" spans="2:5" ht="30" x14ac:dyDescent="0.25">
      <c r="B338" s="181" t="s">
        <v>428</v>
      </c>
      <c r="C338" s="74" t="s">
        <v>429</v>
      </c>
      <c r="D338" s="182" t="s">
        <v>88</v>
      </c>
      <c r="E338" s="183">
        <v>1.1677128000000001</v>
      </c>
    </row>
    <row r="339" spans="2:5" x14ac:dyDescent="0.25">
      <c r="B339" s="181" t="s">
        <v>432</v>
      </c>
      <c r="C339" s="74" t="s">
        <v>433</v>
      </c>
      <c r="D339" s="182" t="s">
        <v>11</v>
      </c>
      <c r="E339" s="183">
        <v>21</v>
      </c>
    </row>
    <row r="340" spans="2:5" x14ac:dyDescent="0.25">
      <c r="B340" s="181" t="s">
        <v>435</v>
      </c>
      <c r="C340" s="74" t="s">
        <v>436</v>
      </c>
      <c r="D340" s="182" t="s">
        <v>11</v>
      </c>
      <c r="E340" s="183">
        <v>21</v>
      </c>
    </row>
    <row r="341" spans="2:5" ht="30" x14ac:dyDescent="0.25">
      <c r="B341" s="181" t="s">
        <v>438</v>
      </c>
      <c r="C341" s="74" t="s">
        <v>439</v>
      </c>
      <c r="D341" s="182" t="s">
        <v>93</v>
      </c>
      <c r="E341" s="183">
        <v>1</v>
      </c>
    </row>
    <row r="342" spans="2:5" ht="30" x14ac:dyDescent="0.25">
      <c r="B342" s="181" t="s">
        <v>441</v>
      </c>
      <c r="C342" s="74" t="s">
        <v>442</v>
      </c>
      <c r="D342" s="182" t="s">
        <v>93</v>
      </c>
      <c r="E342" s="183">
        <v>1</v>
      </c>
    </row>
    <row r="343" spans="2:5" ht="30" x14ac:dyDescent="0.25">
      <c r="B343" s="181" t="s">
        <v>443</v>
      </c>
      <c r="C343" s="74" t="s">
        <v>444</v>
      </c>
      <c r="D343" s="182" t="s">
        <v>93</v>
      </c>
      <c r="E343" s="183">
        <v>2</v>
      </c>
    </row>
    <row r="344" spans="2:5" ht="30" x14ac:dyDescent="0.25">
      <c r="B344" s="181" t="s">
        <v>446</v>
      </c>
      <c r="C344" s="74" t="s">
        <v>447</v>
      </c>
      <c r="D344" s="182" t="s">
        <v>88</v>
      </c>
      <c r="E344" s="183">
        <v>1.3743681433333335</v>
      </c>
    </row>
    <row r="345" spans="2:5" ht="45" x14ac:dyDescent="0.25">
      <c r="B345" s="181" t="s">
        <v>459</v>
      </c>
      <c r="C345" s="74" t="s">
        <v>460</v>
      </c>
      <c r="D345" s="182" t="s">
        <v>88</v>
      </c>
      <c r="E345" s="183">
        <v>1.5504224483333333</v>
      </c>
    </row>
    <row r="346" spans="2:5" ht="30" x14ac:dyDescent="0.25">
      <c r="B346" s="181" t="s">
        <v>465</v>
      </c>
      <c r="C346" s="74" t="s">
        <v>466</v>
      </c>
      <c r="D346" s="182" t="s">
        <v>11</v>
      </c>
      <c r="E346" s="183">
        <v>8</v>
      </c>
    </row>
    <row r="347" spans="2:5" ht="30" x14ac:dyDescent="0.25">
      <c r="B347" s="181" t="s">
        <v>468</v>
      </c>
      <c r="C347" s="74" t="s">
        <v>469</v>
      </c>
      <c r="D347" s="182" t="s">
        <v>11</v>
      </c>
      <c r="E347" s="183">
        <v>23</v>
      </c>
    </row>
    <row r="348" spans="2:5" ht="45" x14ac:dyDescent="0.25">
      <c r="B348" s="181" t="s">
        <v>471</v>
      </c>
      <c r="C348" s="74" t="s">
        <v>472</v>
      </c>
      <c r="D348" s="182" t="s">
        <v>88</v>
      </c>
      <c r="E348" s="183">
        <v>3.7610000000000001</v>
      </c>
    </row>
    <row r="349" spans="2:5" ht="30" x14ac:dyDescent="0.25">
      <c r="B349" s="181" t="s">
        <v>486</v>
      </c>
      <c r="C349" s="74" t="s">
        <v>487</v>
      </c>
      <c r="D349" s="182" t="s">
        <v>93</v>
      </c>
      <c r="E349" s="183">
        <v>2</v>
      </c>
    </row>
    <row r="350" spans="2:5" ht="30" x14ac:dyDescent="0.25">
      <c r="B350" s="181" t="s">
        <v>493</v>
      </c>
      <c r="C350" s="74" t="s">
        <v>494</v>
      </c>
      <c r="D350" s="182" t="s">
        <v>88</v>
      </c>
      <c r="E350" s="183">
        <v>1.1677128000000001</v>
      </c>
    </row>
    <row r="351" spans="2:5" x14ac:dyDescent="0.25">
      <c r="B351" s="181" t="s">
        <v>496</v>
      </c>
      <c r="C351" s="74" t="s">
        <v>497</v>
      </c>
      <c r="D351" s="182" t="s">
        <v>93</v>
      </c>
      <c r="E351" s="183">
        <v>1</v>
      </c>
    </row>
    <row r="352" spans="2:5" ht="15.75" thickBot="1" x14ac:dyDescent="0.3">
      <c r="B352" s="184"/>
      <c r="C352" s="185"/>
      <c r="D352" s="185"/>
      <c r="E352" s="186"/>
    </row>
    <row r="353" spans="2:2" x14ac:dyDescent="0.25">
      <c r="B353" s="48"/>
    </row>
    <row r="354" spans="2:2" x14ac:dyDescent="0.25">
      <c r="B354" s="48"/>
    </row>
    <row r="355" spans="2:2" x14ac:dyDescent="0.25">
      <c r="B355" s="48"/>
    </row>
    <row r="356" spans="2:2" x14ac:dyDescent="0.25">
      <c r="B356" s="48"/>
    </row>
    <row r="357" spans="2:2" x14ac:dyDescent="0.25">
      <c r="B357" s="48"/>
    </row>
    <row r="358" spans="2:2" x14ac:dyDescent="0.25">
      <c r="B358" s="48"/>
    </row>
    <row r="359" spans="2:2" x14ac:dyDescent="0.25">
      <c r="B359" s="48"/>
    </row>
    <row r="360" spans="2:2" x14ac:dyDescent="0.25">
      <c r="B360" s="48"/>
    </row>
    <row r="361" spans="2:2" x14ac:dyDescent="0.25">
      <c r="B361" s="48"/>
    </row>
    <row r="362" spans="2:2" x14ac:dyDescent="0.25">
      <c r="B362" s="48"/>
    </row>
    <row r="363" spans="2:2" x14ac:dyDescent="0.25">
      <c r="B363" s="48"/>
    </row>
    <row r="364" spans="2:2" x14ac:dyDescent="0.25">
      <c r="B364" s="48"/>
    </row>
    <row r="365" spans="2:2" x14ac:dyDescent="0.25">
      <c r="B365" s="48"/>
    </row>
    <row r="366" spans="2:2" x14ac:dyDescent="0.25">
      <c r="B366" s="48"/>
    </row>
    <row r="367" spans="2:2" x14ac:dyDescent="0.25">
      <c r="B367" s="48"/>
    </row>
    <row r="368" spans="2:2" x14ac:dyDescent="0.25">
      <c r="B368" s="48"/>
    </row>
    <row r="369" spans="2:2" x14ac:dyDescent="0.25">
      <c r="B369" s="48"/>
    </row>
    <row r="370" spans="2:2" x14ac:dyDescent="0.25">
      <c r="B370" s="48"/>
    </row>
    <row r="371" spans="2:2" x14ac:dyDescent="0.25">
      <c r="B371" s="48"/>
    </row>
    <row r="372" spans="2:2" x14ac:dyDescent="0.25">
      <c r="B372" s="48"/>
    </row>
    <row r="373" spans="2:2" x14ac:dyDescent="0.25">
      <c r="B373" s="48"/>
    </row>
    <row r="374" spans="2:2" x14ac:dyDescent="0.25">
      <c r="B374" s="48"/>
    </row>
    <row r="375" spans="2:2" x14ac:dyDescent="0.25">
      <c r="B375" s="48"/>
    </row>
    <row r="376" spans="2:2" x14ac:dyDescent="0.25">
      <c r="B376" s="48"/>
    </row>
    <row r="377" spans="2:2" x14ac:dyDescent="0.25">
      <c r="B377" s="48"/>
    </row>
    <row r="378" spans="2:2" x14ac:dyDescent="0.25">
      <c r="B378" s="48"/>
    </row>
    <row r="379" spans="2:2" x14ac:dyDescent="0.25">
      <c r="B379" s="48"/>
    </row>
    <row r="380" spans="2:2" x14ac:dyDescent="0.25">
      <c r="B380" s="48"/>
    </row>
    <row r="381" spans="2:2" x14ac:dyDescent="0.25">
      <c r="B381" s="48"/>
    </row>
    <row r="382" spans="2:2" x14ac:dyDescent="0.25">
      <c r="B382" s="48"/>
    </row>
    <row r="383" spans="2:2" x14ac:dyDescent="0.25">
      <c r="B383" s="48"/>
    </row>
    <row r="384" spans="2:2" x14ac:dyDescent="0.25">
      <c r="B384" s="48"/>
    </row>
    <row r="385" spans="2:2" x14ac:dyDescent="0.25">
      <c r="B385" s="48"/>
    </row>
    <row r="386" spans="2:2" x14ac:dyDescent="0.25">
      <c r="B386" s="48"/>
    </row>
    <row r="387" spans="2:2" x14ac:dyDescent="0.25">
      <c r="B387" s="48"/>
    </row>
    <row r="388" spans="2:2" x14ac:dyDescent="0.25">
      <c r="B388" s="48"/>
    </row>
    <row r="389" spans="2:2" x14ac:dyDescent="0.25">
      <c r="B389" s="48"/>
    </row>
    <row r="390" spans="2:2" x14ac:dyDescent="0.25">
      <c r="B390" s="48"/>
    </row>
    <row r="391" spans="2:2" x14ac:dyDescent="0.25">
      <c r="B391" s="48"/>
    </row>
    <row r="392" spans="2:2" x14ac:dyDescent="0.25">
      <c r="B392" s="48"/>
    </row>
    <row r="393" spans="2:2" x14ac:dyDescent="0.25">
      <c r="B393" s="48"/>
    </row>
    <row r="394" spans="2:2" x14ac:dyDescent="0.25">
      <c r="B394" s="48"/>
    </row>
    <row r="395" spans="2:2" x14ac:dyDescent="0.25">
      <c r="B395" s="48"/>
    </row>
    <row r="396" spans="2:2" x14ac:dyDescent="0.25">
      <c r="B396" s="48"/>
    </row>
    <row r="397" spans="2:2" x14ac:dyDescent="0.25">
      <c r="B397" s="48"/>
    </row>
    <row r="398" spans="2:2" x14ac:dyDescent="0.25">
      <c r="B398" s="48"/>
    </row>
    <row r="399" spans="2:2" x14ac:dyDescent="0.25">
      <c r="B399" s="48"/>
    </row>
    <row r="400" spans="2:2" x14ac:dyDescent="0.25">
      <c r="B400" s="48"/>
    </row>
    <row r="401" spans="2:2" x14ac:dyDescent="0.25">
      <c r="B401" s="48"/>
    </row>
    <row r="402" spans="2:2" x14ac:dyDescent="0.25">
      <c r="B402" s="48"/>
    </row>
    <row r="403" spans="2:2" x14ac:dyDescent="0.25">
      <c r="B403" s="48"/>
    </row>
    <row r="404" spans="2:2" x14ac:dyDescent="0.25">
      <c r="B404" s="48"/>
    </row>
    <row r="405" spans="2:2" x14ac:dyDescent="0.25">
      <c r="B405" s="48"/>
    </row>
    <row r="406" spans="2:2" x14ac:dyDescent="0.25">
      <c r="B406" s="48"/>
    </row>
    <row r="407" spans="2:2" x14ac:dyDescent="0.25">
      <c r="B407" s="48"/>
    </row>
    <row r="408" spans="2:2" x14ac:dyDescent="0.25">
      <c r="B408" s="48"/>
    </row>
    <row r="409" spans="2:2" x14ac:dyDescent="0.25">
      <c r="B409" s="48"/>
    </row>
    <row r="410" spans="2:2" x14ac:dyDescent="0.25">
      <c r="B410" s="48"/>
    </row>
    <row r="411" spans="2:2" x14ac:dyDescent="0.25">
      <c r="B411" s="48"/>
    </row>
    <row r="412" spans="2:2" x14ac:dyDescent="0.25">
      <c r="B412" s="48"/>
    </row>
    <row r="413" spans="2:2" x14ac:dyDescent="0.25">
      <c r="B413" s="48"/>
    </row>
    <row r="414" spans="2:2" x14ac:dyDescent="0.25">
      <c r="B414" s="48"/>
    </row>
    <row r="415" spans="2:2" x14ac:dyDescent="0.25">
      <c r="B415" s="48"/>
    </row>
    <row r="416" spans="2:2" x14ac:dyDescent="0.25">
      <c r="B416" s="48"/>
    </row>
    <row r="417" spans="2:2" x14ac:dyDescent="0.25">
      <c r="B417" s="48"/>
    </row>
    <row r="418" spans="2:2" x14ac:dyDescent="0.25">
      <c r="B418" s="48"/>
    </row>
    <row r="419" spans="2:2" x14ac:dyDescent="0.25">
      <c r="B419" s="48"/>
    </row>
    <row r="420" spans="2:2" x14ac:dyDescent="0.25">
      <c r="B420" s="48"/>
    </row>
    <row r="421" spans="2:2" x14ac:dyDescent="0.25">
      <c r="B421" s="48"/>
    </row>
    <row r="422" spans="2:2" x14ac:dyDescent="0.25">
      <c r="B422" s="48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&amp;L&amp;F&amp;C&amp;A&amp;R&amp;P/&amp;N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F67D7-8D49-4F89-B44F-4A1085F69D4B}">
  <dimension ref="A1:H164"/>
  <sheetViews>
    <sheetView zoomScale="120" zoomScaleNormal="120" workbookViewId="0">
      <selection activeCell="D260" sqref="D238:D260"/>
    </sheetView>
  </sheetViews>
  <sheetFormatPr defaultRowHeight="15" x14ac:dyDescent="0.25"/>
  <cols>
    <col min="1" max="1" width="35.42578125" style="361" customWidth="1"/>
    <col min="2" max="2" width="38.140625" style="352" customWidth="1"/>
    <col min="3" max="3" width="12.42578125" style="344" customWidth="1"/>
    <col min="4" max="8" width="25.7109375" style="1" customWidth="1"/>
    <col min="9" max="16384" width="9.140625" style="1"/>
  </cols>
  <sheetData>
    <row r="1" spans="1:8" ht="23.25" x14ac:dyDescent="0.25">
      <c r="A1" s="252" t="s">
        <v>564</v>
      </c>
    </row>
    <row r="3" spans="1:8" ht="66.75" customHeight="1" x14ac:dyDescent="0.25">
      <c r="A3" s="349" t="s">
        <v>565</v>
      </c>
    </row>
    <row r="4" spans="1:8" ht="30" x14ac:dyDescent="0.25">
      <c r="A4" s="350" t="s">
        <v>566</v>
      </c>
    </row>
    <row r="6" spans="1:8" x14ac:dyDescent="0.25">
      <c r="A6" s="360" t="s">
        <v>606</v>
      </c>
      <c r="B6" s="362" t="s">
        <v>781</v>
      </c>
      <c r="C6" s="363"/>
      <c r="D6" s="254"/>
      <c r="E6" s="110"/>
      <c r="F6" s="110"/>
      <c r="G6" s="110"/>
      <c r="H6" s="110"/>
    </row>
    <row r="7" spans="1:8" x14ac:dyDescent="0.25">
      <c r="B7" s="341" t="s">
        <v>782</v>
      </c>
      <c r="C7" s="342"/>
      <c r="D7" s="84"/>
    </row>
    <row r="8" spans="1:8" x14ac:dyDescent="0.25">
      <c r="B8" s="351" t="s">
        <v>609</v>
      </c>
      <c r="C8" s="343" t="s">
        <v>610</v>
      </c>
      <c r="D8" s="84"/>
    </row>
    <row r="9" spans="1:8" ht="17.25" x14ac:dyDescent="0.25">
      <c r="A9" s="361" t="s">
        <v>783</v>
      </c>
      <c r="B9" s="352" t="s">
        <v>784</v>
      </c>
      <c r="C9" s="345">
        <f>36*0.6</f>
        <v>21.599999999999998</v>
      </c>
    </row>
    <row r="10" spans="1:8" ht="17.25" x14ac:dyDescent="0.25">
      <c r="A10" s="361" t="s">
        <v>785</v>
      </c>
      <c r="B10" s="352" t="s">
        <v>786</v>
      </c>
      <c r="C10" s="345">
        <f>12.46*0.5</f>
        <v>6.23</v>
      </c>
    </row>
    <row r="11" spans="1:8" ht="17.25" x14ac:dyDescent="0.25">
      <c r="A11" s="361" t="s">
        <v>787</v>
      </c>
      <c r="B11" s="352" t="s">
        <v>788</v>
      </c>
      <c r="C11" s="345">
        <f>5.94*1.8*0.5</f>
        <v>5.3460000000000001</v>
      </c>
    </row>
    <row r="12" spans="1:8" ht="17.25" x14ac:dyDescent="0.25">
      <c r="A12" s="361" t="s">
        <v>789</v>
      </c>
      <c r="B12" s="352" t="s">
        <v>790</v>
      </c>
      <c r="C12" s="345">
        <f>0.13*6.4</f>
        <v>0.83200000000000007</v>
      </c>
    </row>
    <row r="13" spans="1:8" ht="17.25" x14ac:dyDescent="0.25">
      <c r="A13" s="361" t="s">
        <v>791</v>
      </c>
      <c r="B13" s="352" t="s">
        <v>792</v>
      </c>
      <c r="C13" s="345">
        <f>0.13*5.94</f>
        <v>0.77220000000000011</v>
      </c>
    </row>
    <row r="14" spans="1:8" ht="17.25" x14ac:dyDescent="0.25">
      <c r="A14" s="364" t="s">
        <v>793</v>
      </c>
      <c r="B14" s="354" t="s">
        <v>268</v>
      </c>
      <c r="C14" s="347">
        <f>SUM(C9:C13)</f>
        <v>34.780200000000001</v>
      </c>
    </row>
    <row r="15" spans="1:8" x14ac:dyDescent="0.25">
      <c r="C15" s="345"/>
    </row>
    <row r="16" spans="1:8" ht="17.25" x14ac:dyDescent="0.25">
      <c r="A16" s="360" t="s">
        <v>794</v>
      </c>
      <c r="B16" s="352" t="s">
        <v>795</v>
      </c>
      <c r="C16" s="346">
        <f>37.34*0.15</f>
        <v>5.601</v>
      </c>
    </row>
    <row r="17" spans="1:3" x14ac:dyDescent="0.25">
      <c r="C17" s="345"/>
    </row>
    <row r="18" spans="1:3" ht="30.75" customHeight="1" x14ac:dyDescent="0.25">
      <c r="A18" s="360" t="s">
        <v>796</v>
      </c>
      <c r="C18" s="346">
        <v>6</v>
      </c>
    </row>
    <row r="19" spans="1:3" x14ac:dyDescent="0.25">
      <c r="C19" s="345"/>
    </row>
    <row r="20" spans="1:3" ht="28.5" customHeight="1" x14ac:dyDescent="0.25">
      <c r="A20" s="361" t="s">
        <v>797</v>
      </c>
      <c r="B20" s="352" t="s">
        <v>798</v>
      </c>
      <c r="C20" s="345">
        <f>0.8*3.1+5.27*2.6+0.8*2.5+5.27*2</f>
        <v>28.722000000000001</v>
      </c>
    </row>
    <row r="21" spans="1:3" ht="17.25" x14ac:dyDescent="0.25">
      <c r="A21" s="361" t="s">
        <v>799</v>
      </c>
      <c r="B21" s="352" t="s">
        <v>800</v>
      </c>
      <c r="C21" s="345">
        <f>5.94*2.4+5.94*1.8</f>
        <v>24.948</v>
      </c>
    </row>
    <row r="22" spans="1:3" ht="30.75" customHeight="1" x14ac:dyDescent="0.25">
      <c r="A22" s="361" t="s">
        <v>801</v>
      </c>
      <c r="B22" s="352" t="s">
        <v>802</v>
      </c>
      <c r="C22" s="345">
        <f>0.8*0.07+0.8*0.07+0.8*0.2+0.8*0.2</f>
        <v>0.43200000000000005</v>
      </c>
    </row>
    <row r="23" spans="1:3" ht="30.75" customHeight="1" x14ac:dyDescent="0.25">
      <c r="A23" s="361" t="s">
        <v>803</v>
      </c>
      <c r="B23" s="352" t="s">
        <v>767</v>
      </c>
      <c r="C23" s="345">
        <f>5.95*0.07+5.93*0.07+5.95*0.2+5.93*0.2</f>
        <v>3.2076000000000002</v>
      </c>
    </row>
    <row r="24" spans="1:3" ht="17.25" x14ac:dyDescent="0.25">
      <c r="A24" s="360" t="s">
        <v>804</v>
      </c>
      <c r="B24" s="351" t="s">
        <v>268</v>
      </c>
      <c r="C24" s="346">
        <f>SUM(C20:C23)</f>
        <v>57.309600000000003</v>
      </c>
    </row>
    <row r="25" spans="1:3" x14ac:dyDescent="0.25">
      <c r="C25" s="345"/>
    </row>
    <row r="26" spans="1:3" ht="17.25" x14ac:dyDescent="0.25">
      <c r="A26" s="361" t="s">
        <v>805</v>
      </c>
      <c r="B26" s="352" t="s">
        <v>806</v>
      </c>
      <c r="C26" s="345">
        <f>0.8*2.7+5.27*2</f>
        <v>12.7</v>
      </c>
    </row>
    <row r="27" spans="1:3" ht="17.25" x14ac:dyDescent="0.25">
      <c r="A27" s="361" t="s">
        <v>807</v>
      </c>
      <c r="B27" s="352" t="s">
        <v>808</v>
      </c>
      <c r="C27" s="345">
        <f>5.94*2</f>
        <v>11.88</v>
      </c>
    </row>
    <row r="28" spans="1:3" ht="17.25" x14ac:dyDescent="0.25">
      <c r="A28" s="360" t="s">
        <v>809</v>
      </c>
      <c r="B28" s="351" t="s">
        <v>268</v>
      </c>
      <c r="C28" s="346">
        <f>SUM(C26:C27)</f>
        <v>24.58</v>
      </c>
    </row>
    <row r="29" spans="1:3" x14ac:dyDescent="0.25">
      <c r="C29" s="345"/>
    </row>
    <row r="30" spans="1:3" x14ac:dyDescent="0.25">
      <c r="A30" s="360" t="s">
        <v>810</v>
      </c>
      <c r="B30" s="352" t="s">
        <v>811</v>
      </c>
      <c r="C30" s="346">
        <f>2.8+5.5+2.1</f>
        <v>10.4</v>
      </c>
    </row>
    <row r="31" spans="1:3" x14ac:dyDescent="0.25">
      <c r="C31" s="345"/>
    </row>
    <row r="32" spans="1:3" ht="25.5" customHeight="1" x14ac:dyDescent="0.25">
      <c r="A32" s="360" t="s">
        <v>812</v>
      </c>
      <c r="B32" s="352" t="s">
        <v>777</v>
      </c>
      <c r="C32" s="346">
        <f>6.06+5.94</f>
        <v>12</v>
      </c>
    </row>
    <row r="33" spans="1:3" x14ac:dyDescent="0.25">
      <c r="C33" s="345"/>
    </row>
    <row r="34" spans="1:3" x14ac:dyDescent="0.25">
      <c r="A34" s="360" t="s">
        <v>813</v>
      </c>
      <c r="B34" s="352" t="s">
        <v>779</v>
      </c>
      <c r="C34" s="346">
        <f>2*6.06+2*5.94</f>
        <v>24</v>
      </c>
    </row>
    <row r="35" spans="1:3" x14ac:dyDescent="0.25">
      <c r="C35" s="345"/>
    </row>
    <row r="36" spans="1:3" x14ac:dyDescent="0.25">
      <c r="A36" s="360" t="s">
        <v>814</v>
      </c>
      <c r="B36" s="352" t="s">
        <v>779</v>
      </c>
      <c r="C36" s="346">
        <f>2*6.06+2*5.94</f>
        <v>24</v>
      </c>
    </row>
    <row r="37" spans="1:3" x14ac:dyDescent="0.25">
      <c r="C37" s="345"/>
    </row>
    <row r="38" spans="1:3" x14ac:dyDescent="0.25">
      <c r="C38" s="345"/>
    </row>
    <row r="39" spans="1:3" x14ac:dyDescent="0.25">
      <c r="C39" s="345"/>
    </row>
    <row r="40" spans="1:3" x14ac:dyDescent="0.25">
      <c r="C40" s="345"/>
    </row>
    <row r="41" spans="1:3" ht="17.25" x14ac:dyDescent="0.25">
      <c r="A41" s="361" t="s">
        <v>815</v>
      </c>
      <c r="B41" s="352" t="s">
        <v>816</v>
      </c>
      <c r="C41" s="345">
        <f>27.83*0.6</f>
        <v>16.697999999999997</v>
      </c>
    </row>
    <row r="42" spans="1:3" ht="17.25" x14ac:dyDescent="0.25">
      <c r="A42" s="361" t="s">
        <v>817</v>
      </c>
      <c r="B42" s="352" t="s">
        <v>818</v>
      </c>
      <c r="C42" s="345">
        <f>4.68*2.5*0.5</f>
        <v>5.85</v>
      </c>
    </row>
    <row r="43" spans="1:3" ht="17.25" x14ac:dyDescent="0.25">
      <c r="A43" s="361" t="s">
        <v>819</v>
      </c>
      <c r="B43" s="352" t="s">
        <v>820</v>
      </c>
      <c r="C43" s="345">
        <f>4.59*1.8*0.5</f>
        <v>4.1310000000000002</v>
      </c>
    </row>
    <row r="44" spans="1:3" ht="17.25" x14ac:dyDescent="0.25">
      <c r="A44" s="361" t="s">
        <v>821</v>
      </c>
      <c r="B44" s="352" t="s">
        <v>822</v>
      </c>
      <c r="C44" s="345">
        <f>0.13*4.68</f>
        <v>0.60839999999999994</v>
      </c>
    </row>
    <row r="45" spans="1:3" ht="17.25" x14ac:dyDescent="0.25">
      <c r="A45" s="361" t="s">
        <v>823</v>
      </c>
      <c r="B45" s="352" t="s">
        <v>824</v>
      </c>
      <c r="C45" s="345">
        <f>0.13*4.59</f>
        <v>0.59670000000000001</v>
      </c>
    </row>
    <row r="46" spans="1:3" ht="17.25" x14ac:dyDescent="0.25">
      <c r="A46" s="364" t="s">
        <v>825</v>
      </c>
      <c r="B46" s="354" t="s">
        <v>268</v>
      </c>
      <c r="C46" s="347">
        <f>SUM(C41:C45)</f>
        <v>27.884099999999993</v>
      </c>
    </row>
    <row r="48" spans="1:3" ht="17.25" x14ac:dyDescent="0.25">
      <c r="A48" s="360" t="s">
        <v>826</v>
      </c>
      <c r="B48" s="352" t="s">
        <v>827</v>
      </c>
      <c r="C48" s="346">
        <f>28.86*0.15</f>
        <v>4.3289999999999997</v>
      </c>
    </row>
    <row r="50" spans="1:3" ht="32.25" customHeight="1" x14ac:dyDescent="0.25">
      <c r="A50" s="360" t="s">
        <v>828</v>
      </c>
      <c r="C50" s="346">
        <v>6</v>
      </c>
    </row>
    <row r="52" spans="1:3" ht="17.25" x14ac:dyDescent="0.25">
      <c r="A52" s="361" t="s">
        <v>829</v>
      </c>
      <c r="B52" s="352" t="s">
        <v>830</v>
      </c>
      <c r="C52" s="345">
        <f>6.12*0.9+6.1*2.5</f>
        <v>20.757999999999999</v>
      </c>
    </row>
    <row r="53" spans="1:3" ht="17.25" x14ac:dyDescent="0.25">
      <c r="A53" s="361" t="s">
        <v>831</v>
      </c>
      <c r="B53" s="352" t="s">
        <v>832</v>
      </c>
      <c r="C53" s="345">
        <f>4.59*0.25+4.59*1.8</f>
        <v>9.4095000000000013</v>
      </c>
    </row>
    <row r="54" spans="1:3" ht="31.5" customHeight="1" x14ac:dyDescent="0.25">
      <c r="A54" s="361" t="s">
        <v>833</v>
      </c>
      <c r="B54" s="352" t="s">
        <v>834</v>
      </c>
      <c r="C54" s="345">
        <f>4.69*0.07+4.67*0.07+4.69*0.2+4.67*0.2</f>
        <v>2.5272000000000001</v>
      </c>
    </row>
    <row r="55" spans="1:3" ht="32.25" customHeight="1" x14ac:dyDescent="0.25">
      <c r="A55" s="361" t="s">
        <v>835</v>
      </c>
      <c r="B55" s="352" t="s">
        <v>836</v>
      </c>
      <c r="C55" s="345">
        <f>4.6*0.07+4.58*0.07+4.6*0.2+4.58*0.2</f>
        <v>2.4786000000000001</v>
      </c>
    </row>
    <row r="56" spans="1:3" ht="17.25" x14ac:dyDescent="0.25">
      <c r="A56" s="360" t="s">
        <v>837</v>
      </c>
      <c r="B56" s="351" t="s">
        <v>268</v>
      </c>
      <c r="C56" s="346">
        <f>SUM(C52:C55)</f>
        <v>35.173299999999998</v>
      </c>
    </row>
    <row r="58" spans="1:3" ht="17.25" x14ac:dyDescent="0.25">
      <c r="A58" s="361" t="s">
        <v>838</v>
      </c>
      <c r="B58" s="352" t="s">
        <v>839</v>
      </c>
      <c r="C58" s="345">
        <f>4.68*2.7</f>
        <v>12.635999999999999</v>
      </c>
    </row>
    <row r="59" spans="1:3" ht="17.25" x14ac:dyDescent="0.25">
      <c r="A59" s="361" t="s">
        <v>840</v>
      </c>
      <c r="B59" s="352" t="s">
        <v>841</v>
      </c>
      <c r="C59" s="345">
        <f>4.59*2</f>
        <v>9.18</v>
      </c>
    </row>
    <row r="60" spans="1:3" ht="17.25" x14ac:dyDescent="0.25">
      <c r="A60" s="360" t="s">
        <v>842</v>
      </c>
      <c r="B60" s="351" t="s">
        <v>268</v>
      </c>
      <c r="C60" s="346">
        <f>SUM(C58:C59)</f>
        <v>21.815999999999999</v>
      </c>
    </row>
    <row r="62" spans="1:3" x14ac:dyDescent="0.25">
      <c r="A62" s="360" t="s">
        <v>843</v>
      </c>
      <c r="B62" s="352" t="s">
        <v>811</v>
      </c>
      <c r="C62" s="346">
        <f>2.8+5.5+2.1</f>
        <v>10.4</v>
      </c>
    </row>
    <row r="63" spans="1:3" x14ac:dyDescent="0.25">
      <c r="C63" s="345"/>
    </row>
    <row r="64" spans="1:3" x14ac:dyDescent="0.25">
      <c r="A64" s="360" t="s">
        <v>844</v>
      </c>
      <c r="B64" s="352" t="s">
        <v>845</v>
      </c>
      <c r="C64" s="346">
        <f>4.68+4.59</f>
        <v>9.27</v>
      </c>
    </row>
    <row r="65" spans="1:3" x14ac:dyDescent="0.25">
      <c r="C65" s="345"/>
    </row>
    <row r="66" spans="1:3" x14ac:dyDescent="0.25">
      <c r="A66" s="360" t="s">
        <v>846</v>
      </c>
      <c r="B66" s="352" t="s">
        <v>847</v>
      </c>
      <c r="C66" s="346">
        <f>2*4.68+2*4.59</f>
        <v>18.54</v>
      </c>
    </row>
    <row r="67" spans="1:3" x14ac:dyDescent="0.25">
      <c r="C67" s="345"/>
    </row>
    <row r="68" spans="1:3" x14ac:dyDescent="0.25">
      <c r="A68" s="360" t="s">
        <v>848</v>
      </c>
      <c r="B68" s="352" t="s">
        <v>847</v>
      </c>
      <c r="C68" s="346">
        <f>2*4.68+2*4.59</f>
        <v>18.54</v>
      </c>
    </row>
    <row r="73" spans="1:3" x14ac:dyDescent="0.25">
      <c r="C73" s="345"/>
    </row>
    <row r="74" spans="1:3" x14ac:dyDescent="0.25">
      <c r="C74" s="345"/>
    </row>
    <row r="75" spans="1:3" x14ac:dyDescent="0.25">
      <c r="C75" s="345"/>
    </row>
    <row r="76" spans="1:3" x14ac:dyDescent="0.25">
      <c r="C76" s="345"/>
    </row>
    <row r="77" spans="1:3" x14ac:dyDescent="0.25">
      <c r="C77" s="345"/>
    </row>
    <row r="78" spans="1:3" x14ac:dyDescent="0.25">
      <c r="A78" s="360"/>
      <c r="B78" s="351"/>
      <c r="C78" s="346"/>
    </row>
    <row r="80" spans="1:3" x14ac:dyDescent="0.25">
      <c r="A80" s="360"/>
      <c r="C80" s="346"/>
    </row>
    <row r="82" spans="1:3" x14ac:dyDescent="0.25">
      <c r="A82" s="360"/>
      <c r="C82" s="346"/>
    </row>
    <row r="84" spans="1:3" x14ac:dyDescent="0.25">
      <c r="C84" s="345"/>
    </row>
    <row r="85" spans="1:3" x14ac:dyDescent="0.25">
      <c r="C85" s="345"/>
    </row>
    <row r="86" spans="1:3" x14ac:dyDescent="0.25">
      <c r="C86" s="345"/>
    </row>
    <row r="87" spans="1:3" x14ac:dyDescent="0.25">
      <c r="C87" s="345"/>
    </row>
    <row r="88" spans="1:3" x14ac:dyDescent="0.25">
      <c r="A88" s="360"/>
      <c r="B88" s="351"/>
      <c r="C88" s="346"/>
    </row>
    <row r="90" spans="1:3" x14ac:dyDescent="0.25">
      <c r="C90" s="345"/>
    </row>
    <row r="91" spans="1:3" x14ac:dyDescent="0.25">
      <c r="C91" s="345"/>
    </row>
    <row r="92" spans="1:3" x14ac:dyDescent="0.25">
      <c r="A92" s="360"/>
      <c r="B92" s="351"/>
      <c r="C92" s="346"/>
    </row>
    <row r="94" spans="1:3" x14ac:dyDescent="0.25">
      <c r="A94" s="360"/>
      <c r="C94" s="346"/>
    </row>
    <row r="95" spans="1:3" x14ac:dyDescent="0.25">
      <c r="C95" s="345"/>
    </row>
    <row r="96" spans="1:3" x14ac:dyDescent="0.25">
      <c r="A96" s="360"/>
      <c r="C96" s="346"/>
    </row>
    <row r="97" spans="1:3" x14ac:dyDescent="0.25">
      <c r="C97" s="345"/>
    </row>
    <row r="98" spans="1:3" x14ac:dyDescent="0.25">
      <c r="A98" s="360"/>
      <c r="C98" s="346"/>
    </row>
    <row r="99" spans="1:3" x14ac:dyDescent="0.25">
      <c r="C99" s="345"/>
    </row>
    <row r="100" spans="1:3" x14ac:dyDescent="0.25">
      <c r="A100" s="360"/>
      <c r="C100" s="346"/>
    </row>
    <row r="105" spans="1:3" x14ac:dyDescent="0.25">
      <c r="C105" s="345"/>
    </row>
    <row r="106" spans="1:3" x14ac:dyDescent="0.25">
      <c r="C106" s="345"/>
    </row>
    <row r="107" spans="1:3" x14ac:dyDescent="0.25">
      <c r="C107" s="345"/>
    </row>
    <row r="108" spans="1:3" x14ac:dyDescent="0.25">
      <c r="C108" s="345"/>
    </row>
    <row r="109" spans="1:3" x14ac:dyDescent="0.25">
      <c r="C109" s="345"/>
    </row>
    <row r="110" spans="1:3" x14ac:dyDescent="0.25">
      <c r="A110" s="360"/>
      <c r="B110" s="351"/>
      <c r="C110" s="346"/>
    </row>
    <row r="112" spans="1:3" x14ac:dyDescent="0.25">
      <c r="A112" s="360"/>
      <c r="C112" s="346"/>
    </row>
    <row r="114" spans="1:3" x14ac:dyDescent="0.25">
      <c r="A114" s="360"/>
      <c r="C114" s="346"/>
    </row>
    <row r="116" spans="1:3" x14ac:dyDescent="0.25">
      <c r="C116" s="345"/>
    </row>
    <row r="117" spans="1:3" x14ac:dyDescent="0.25">
      <c r="C117" s="345"/>
    </row>
    <row r="118" spans="1:3" x14ac:dyDescent="0.25">
      <c r="C118" s="345"/>
    </row>
    <row r="119" spans="1:3" x14ac:dyDescent="0.25">
      <c r="C119" s="345"/>
    </row>
    <row r="120" spans="1:3" x14ac:dyDescent="0.25">
      <c r="A120" s="360"/>
      <c r="B120" s="351"/>
      <c r="C120" s="346"/>
    </row>
    <row r="122" spans="1:3" x14ac:dyDescent="0.25">
      <c r="C122" s="345"/>
    </row>
    <row r="123" spans="1:3" x14ac:dyDescent="0.25">
      <c r="C123" s="345"/>
    </row>
    <row r="124" spans="1:3" x14ac:dyDescent="0.25">
      <c r="A124" s="360"/>
      <c r="B124" s="351"/>
      <c r="C124" s="346"/>
    </row>
    <row r="126" spans="1:3" x14ac:dyDescent="0.25">
      <c r="A126" s="360"/>
      <c r="C126" s="346"/>
    </row>
    <row r="127" spans="1:3" x14ac:dyDescent="0.25">
      <c r="C127" s="345"/>
    </row>
    <row r="128" spans="1:3" x14ac:dyDescent="0.25">
      <c r="A128" s="360"/>
      <c r="C128" s="346"/>
    </row>
    <row r="129" spans="1:3" x14ac:dyDescent="0.25">
      <c r="C129" s="345"/>
    </row>
    <row r="130" spans="1:3" x14ac:dyDescent="0.25">
      <c r="A130" s="360"/>
      <c r="C130" s="346"/>
    </row>
    <row r="131" spans="1:3" x14ac:dyDescent="0.25">
      <c r="C131" s="345"/>
    </row>
    <row r="132" spans="1:3" x14ac:dyDescent="0.25">
      <c r="A132" s="360"/>
      <c r="C132" s="346"/>
    </row>
    <row r="137" spans="1:3" x14ac:dyDescent="0.25">
      <c r="C137" s="345"/>
    </row>
    <row r="138" spans="1:3" x14ac:dyDescent="0.25">
      <c r="C138" s="345"/>
    </row>
    <row r="139" spans="1:3" x14ac:dyDescent="0.25">
      <c r="C139" s="345"/>
    </row>
    <row r="140" spans="1:3" x14ac:dyDescent="0.25">
      <c r="C140" s="345"/>
    </row>
    <row r="141" spans="1:3" x14ac:dyDescent="0.25">
      <c r="C141" s="345"/>
    </row>
    <row r="142" spans="1:3" x14ac:dyDescent="0.25">
      <c r="A142" s="360"/>
      <c r="B142" s="351"/>
      <c r="C142" s="346"/>
    </row>
    <row r="144" spans="1:3" x14ac:dyDescent="0.25">
      <c r="A144" s="360"/>
      <c r="C144" s="346"/>
    </row>
    <row r="146" spans="1:3" x14ac:dyDescent="0.25">
      <c r="A146" s="360"/>
      <c r="C146" s="346"/>
    </row>
    <row r="148" spans="1:3" x14ac:dyDescent="0.25">
      <c r="C148" s="345"/>
    </row>
    <row r="149" spans="1:3" x14ac:dyDescent="0.25">
      <c r="C149" s="345"/>
    </row>
    <row r="150" spans="1:3" x14ac:dyDescent="0.25">
      <c r="C150" s="345"/>
    </row>
    <row r="151" spans="1:3" x14ac:dyDescent="0.25">
      <c r="C151" s="345"/>
    </row>
    <row r="152" spans="1:3" x14ac:dyDescent="0.25">
      <c r="A152" s="360"/>
      <c r="B152" s="351"/>
      <c r="C152" s="346"/>
    </row>
    <row r="154" spans="1:3" x14ac:dyDescent="0.25">
      <c r="C154" s="345"/>
    </row>
    <row r="155" spans="1:3" x14ac:dyDescent="0.25">
      <c r="C155" s="345"/>
    </row>
    <row r="156" spans="1:3" x14ac:dyDescent="0.25">
      <c r="A156" s="360"/>
      <c r="B156" s="351"/>
      <c r="C156" s="346"/>
    </row>
    <row r="158" spans="1:3" x14ac:dyDescent="0.25">
      <c r="A158" s="360"/>
      <c r="C158" s="346"/>
    </row>
    <row r="159" spans="1:3" x14ac:dyDescent="0.25">
      <c r="C159" s="345"/>
    </row>
    <row r="160" spans="1:3" x14ac:dyDescent="0.25">
      <c r="A160" s="360"/>
      <c r="C160" s="346"/>
    </row>
    <row r="161" spans="1:3" x14ac:dyDescent="0.25">
      <c r="C161" s="345"/>
    </row>
    <row r="162" spans="1:3" x14ac:dyDescent="0.25">
      <c r="A162" s="360"/>
      <c r="C162" s="346"/>
    </row>
    <row r="163" spans="1:3" x14ac:dyDescent="0.25">
      <c r="C163" s="345"/>
    </row>
    <row r="164" spans="1:3" x14ac:dyDescent="0.25">
      <c r="A164" s="360"/>
      <c r="C164" s="346"/>
    </row>
  </sheetData>
  <mergeCells count="2">
    <mergeCell ref="B6:C6"/>
    <mergeCell ref="B7:C7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21C63-4108-40A4-B43E-CBDC70B30680}">
  <dimension ref="A3:H160"/>
  <sheetViews>
    <sheetView topLeftCell="A105" zoomScale="120" zoomScaleNormal="120" workbookViewId="0">
      <selection activeCell="D260" sqref="D238:D260"/>
    </sheetView>
  </sheetViews>
  <sheetFormatPr defaultRowHeight="15" x14ac:dyDescent="0.25"/>
  <cols>
    <col min="1" max="1" width="36.7109375" style="1" customWidth="1"/>
    <col min="2" max="2" width="31.7109375" style="352" customWidth="1"/>
    <col min="3" max="3" width="11.7109375" style="344" customWidth="1"/>
    <col min="4" max="8" width="25.7109375" style="1" customWidth="1"/>
    <col min="9" max="16384" width="9.140625" style="1"/>
  </cols>
  <sheetData>
    <row r="3" spans="1:8" ht="23.25" x14ac:dyDescent="0.25">
      <c r="A3" s="252" t="s">
        <v>564</v>
      </c>
    </row>
    <row r="5" spans="1:8" ht="63" x14ac:dyDescent="0.25">
      <c r="A5" s="349" t="s">
        <v>565</v>
      </c>
    </row>
    <row r="6" spans="1:8" x14ac:dyDescent="0.25">
      <c r="A6" s="253" t="s">
        <v>566</v>
      </c>
    </row>
    <row r="8" spans="1:8" x14ac:dyDescent="0.25">
      <c r="A8" s="84" t="s">
        <v>606</v>
      </c>
      <c r="B8" s="362" t="s">
        <v>849</v>
      </c>
      <c r="C8" s="363"/>
      <c r="D8" s="254"/>
      <c r="E8" s="110"/>
      <c r="F8" s="110"/>
      <c r="G8" s="110"/>
      <c r="H8" s="110"/>
    </row>
    <row r="9" spans="1:8" x14ac:dyDescent="0.25">
      <c r="B9" s="341" t="s">
        <v>850</v>
      </c>
      <c r="C9" s="342"/>
      <c r="D9" s="84"/>
    </row>
    <row r="10" spans="1:8" x14ac:dyDescent="0.25">
      <c r="B10" s="351" t="s">
        <v>609</v>
      </c>
      <c r="C10" s="343" t="s">
        <v>610</v>
      </c>
      <c r="D10" s="84"/>
    </row>
    <row r="11" spans="1:8" ht="17.25" x14ac:dyDescent="0.25">
      <c r="A11" s="1" t="s">
        <v>851</v>
      </c>
      <c r="B11" s="352" t="s">
        <v>784</v>
      </c>
      <c r="C11" s="345">
        <f>36*0.6</f>
        <v>21.599999999999998</v>
      </c>
    </row>
    <row r="12" spans="1:8" ht="17.25" x14ac:dyDescent="0.25">
      <c r="A12" s="1" t="s">
        <v>852</v>
      </c>
      <c r="B12" s="352" t="s">
        <v>750</v>
      </c>
      <c r="C12" s="345">
        <f>6.06*2.5*0.5</f>
        <v>7.5749999999999993</v>
      </c>
    </row>
    <row r="13" spans="1:8" ht="17.25" x14ac:dyDescent="0.25">
      <c r="A13" s="1" t="s">
        <v>853</v>
      </c>
      <c r="B13" s="352" t="s">
        <v>788</v>
      </c>
      <c r="C13" s="345">
        <f>5.94*1.8*0.5</f>
        <v>5.3460000000000001</v>
      </c>
    </row>
    <row r="14" spans="1:8" ht="17.25" x14ac:dyDescent="0.25">
      <c r="A14" s="1" t="s">
        <v>854</v>
      </c>
      <c r="B14" s="352" t="s">
        <v>855</v>
      </c>
      <c r="C14" s="345">
        <f>0.13*6.06</f>
        <v>0.78779999999999994</v>
      </c>
    </row>
    <row r="15" spans="1:8" ht="17.25" x14ac:dyDescent="0.25">
      <c r="A15" s="1" t="s">
        <v>856</v>
      </c>
      <c r="B15" s="352" t="s">
        <v>792</v>
      </c>
      <c r="C15" s="345">
        <f>0.13*5.94</f>
        <v>0.77220000000000011</v>
      </c>
    </row>
    <row r="16" spans="1:8" ht="17.25" x14ac:dyDescent="0.25">
      <c r="A16" s="365" t="s">
        <v>857</v>
      </c>
      <c r="B16" s="354" t="s">
        <v>268</v>
      </c>
      <c r="C16" s="347">
        <f>SUM(C11:C15)</f>
        <v>36.080999999999996</v>
      </c>
    </row>
    <row r="17" spans="1:3" x14ac:dyDescent="0.25">
      <c r="C17" s="345"/>
    </row>
    <row r="18" spans="1:3" ht="17.25" x14ac:dyDescent="0.25">
      <c r="A18" s="84" t="s">
        <v>858</v>
      </c>
      <c r="B18" s="352" t="s">
        <v>859</v>
      </c>
      <c r="C18" s="346">
        <f>37.33*0.15</f>
        <v>5.5994999999999999</v>
      </c>
    </row>
    <row r="19" spans="1:3" x14ac:dyDescent="0.25">
      <c r="C19" s="345"/>
    </row>
    <row r="20" spans="1:3" ht="17.25" x14ac:dyDescent="0.25">
      <c r="A20" s="84" t="s">
        <v>860</v>
      </c>
      <c r="C20" s="346">
        <v>6</v>
      </c>
    </row>
    <row r="21" spans="1:3" x14ac:dyDescent="0.25">
      <c r="C21" s="345"/>
    </row>
    <row r="22" spans="1:3" ht="17.25" x14ac:dyDescent="0.25">
      <c r="A22" s="1" t="s">
        <v>861</v>
      </c>
      <c r="B22" s="352" t="s">
        <v>862</v>
      </c>
      <c r="C22" s="345">
        <f>6.06*3.1+6.06*2.5</f>
        <v>33.935999999999993</v>
      </c>
    </row>
    <row r="23" spans="1:3" ht="17.25" x14ac:dyDescent="0.25">
      <c r="A23" s="1" t="s">
        <v>863</v>
      </c>
      <c r="B23" s="352" t="s">
        <v>864</v>
      </c>
      <c r="C23" s="345">
        <f>5.94*0.25+5.94*1.8</f>
        <v>12.177</v>
      </c>
    </row>
    <row r="24" spans="1:3" ht="28.5" customHeight="1" x14ac:dyDescent="0.25">
      <c r="A24" s="1" t="s">
        <v>865</v>
      </c>
      <c r="B24" s="352" t="s">
        <v>765</v>
      </c>
      <c r="C24" s="345">
        <f>6.07*0.07+6.05*0.07+6.07*0.2+6.05*0.2</f>
        <v>3.2724000000000002</v>
      </c>
    </row>
    <row r="25" spans="1:3" ht="29.25" customHeight="1" x14ac:dyDescent="0.25">
      <c r="A25" s="1" t="s">
        <v>866</v>
      </c>
      <c r="B25" s="352" t="s">
        <v>767</v>
      </c>
      <c r="C25" s="345">
        <f>5.95*0.07+5.93*0.07+5.95*0.2+5.93*0.2</f>
        <v>3.2076000000000002</v>
      </c>
    </row>
    <row r="26" spans="1:3" ht="17.25" x14ac:dyDescent="0.25">
      <c r="A26" s="84" t="s">
        <v>867</v>
      </c>
      <c r="B26" s="351" t="s">
        <v>268</v>
      </c>
      <c r="C26" s="346">
        <f>SUM(C22:C25)</f>
        <v>52.592999999999989</v>
      </c>
    </row>
    <row r="27" spans="1:3" x14ac:dyDescent="0.25">
      <c r="C27" s="345"/>
    </row>
    <row r="28" spans="1:3" ht="17.25" x14ac:dyDescent="0.25">
      <c r="A28" s="1" t="s">
        <v>868</v>
      </c>
      <c r="B28" s="352" t="s">
        <v>869</v>
      </c>
      <c r="C28" s="345">
        <f>6.06*2.7</f>
        <v>16.361999999999998</v>
      </c>
    </row>
    <row r="29" spans="1:3" ht="17.25" x14ac:dyDescent="0.25">
      <c r="A29" s="1" t="s">
        <v>870</v>
      </c>
      <c r="B29" s="352" t="s">
        <v>808</v>
      </c>
      <c r="C29" s="345">
        <f>5.94*2</f>
        <v>11.88</v>
      </c>
    </row>
    <row r="30" spans="1:3" ht="17.25" x14ac:dyDescent="0.25">
      <c r="A30" s="84" t="s">
        <v>871</v>
      </c>
      <c r="B30" s="351" t="s">
        <v>268</v>
      </c>
      <c r="C30" s="346">
        <f>SUM(C28:C29)</f>
        <v>28.241999999999997</v>
      </c>
    </row>
    <row r="31" spans="1:3" x14ac:dyDescent="0.25">
      <c r="C31" s="345"/>
    </row>
    <row r="32" spans="1:3" x14ac:dyDescent="0.25">
      <c r="A32" s="84" t="s">
        <v>810</v>
      </c>
      <c r="B32" s="352" t="s">
        <v>811</v>
      </c>
      <c r="C32" s="346">
        <f>2.8+5.5+2.1</f>
        <v>10.4</v>
      </c>
    </row>
    <row r="33" spans="1:3" x14ac:dyDescent="0.25">
      <c r="C33" s="345"/>
    </row>
    <row r="34" spans="1:3" x14ac:dyDescent="0.25">
      <c r="A34" s="84" t="s">
        <v>812</v>
      </c>
      <c r="B34" s="352" t="s">
        <v>777</v>
      </c>
      <c r="C34" s="346">
        <f>6.06+5.94</f>
        <v>12</v>
      </c>
    </row>
    <row r="35" spans="1:3" x14ac:dyDescent="0.25">
      <c r="C35" s="345"/>
    </row>
    <row r="36" spans="1:3" x14ac:dyDescent="0.25">
      <c r="A36" s="84" t="s">
        <v>813</v>
      </c>
      <c r="B36" s="352" t="s">
        <v>779</v>
      </c>
      <c r="C36" s="346">
        <f>2*6.06+2*5.94</f>
        <v>24</v>
      </c>
    </row>
    <row r="37" spans="1:3" x14ac:dyDescent="0.25">
      <c r="C37" s="345"/>
    </row>
    <row r="38" spans="1:3" x14ac:dyDescent="0.25">
      <c r="A38" s="84" t="s">
        <v>814</v>
      </c>
      <c r="B38" s="352" t="s">
        <v>779</v>
      </c>
      <c r="C38" s="346">
        <f>2*6.06+2*5.94</f>
        <v>24</v>
      </c>
    </row>
    <row r="39" spans="1:3" x14ac:dyDescent="0.25">
      <c r="C39" s="345"/>
    </row>
    <row r="40" spans="1:3" x14ac:dyDescent="0.25">
      <c r="C40" s="345"/>
    </row>
    <row r="41" spans="1:3" x14ac:dyDescent="0.25">
      <c r="C41" s="345"/>
    </row>
    <row r="42" spans="1:3" x14ac:dyDescent="0.25">
      <c r="C42" s="345"/>
    </row>
    <row r="43" spans="1:3" ht="17.25" x14ac:dyDescent="0.25">
      <c r="A43" s="1" t="s">
        <v>872</v>
      </c>
      <c r="B43" s="352" t="s">
        <v>784</v>
      </c>
      <c r="C43" s="345">
        <f>36*0.6</f>
        <v>21.599999999999998</v>
      </c>
    </row>
    <row r="44" spans="1:3" ht="17.25" x14ac:dyDescent="0.25">
      <c r="A44" s="1" t="s">
        <v>873</v>
      </c>
      <c r="B44" s="352" t="s">
        <v>750</v>
      </c>
      <c r="C44" s="345">
        <f>6.06*2.5*0.5</f>
        <v>7.5749999999999993</v>
      </c>
    </row>
    <row r="45" spans="1:3" ht="17.25" x14ac:dyDescent="0.25">
      <c r="A45" s="1" t="s">
        <v>874</v>
      </c>
      <c r="B45" s="352" t="s">
        <v>788</v>
      </c>
      <c r="C45" s="345">
        <f>5.94*1.8*0.5</f>
        <v>5.3460000000000001</v>
      </c>
    </row>
    <row r="46" spans="1:3" ht="17.25" x14ac:dyDescent="0.25">
      <c r="A46" s="1" t="s">
        <v>875</v>
      </c>
      <c r="B46" s="352" t="s">
        <v>855</v>
      </c>
      <c r="C46" s="345">
        <f>0.13*6.06</f>
        <v>0.78779999999999994</v>
      </c>
    </row>
    <row r="47" spans="1:3" ht="17.25" x14ac:dyDescent="0.25">
      <c r="A47" s="1" t="s">
        <v>876</v>
      </c>
      <c r="B47" s="352" t="s">
        <v>792</v>
      </c>
      <c r="C47" s="345">
        <f>0.13*5.94</f>
        <v>0.77220000000000011</v>
      </c>
    </row>
    <row r="48" spans="1:3" ht="17.25" x14ac:dyDescent="0.25">
      <c r="A48" s="365" t="s">
        <v>877</v>
      </c>
      <c r="B48" s="354" t="s">
        <v>268</v>
      </c>
      <c r="C48" s="347">
        <f>SUM(C43:C47)</f>
        <v>36.080999999999996</v>
      </c>
    </row>
    <row r="49" spans="1:3" x14ac:dyDescent="0.25">
      <c r="C49" s="345"/>
    </row>
    <row r="50" spans="1:3" ht="17.25" x14ac:dyDescent="0.25">
      <c r="A50" s="84" t="s">
        <v>878</v>
      </c>
      <c r="B50" s="352" t="s">
        <v>879</v>
      </c>
      <c r="C50" s="346">
        <f>37.29*0.15</f>
        <v>5.5934999999999997</v>
      </c>
    </row>
    <row r="51" spans="1:3" x14ac:dyDescent="0.25">
      <c r="C51" s="345"/>
    </row>
    <row r="52" spans="1:3" ht="17.25" x14ac:dyDescent="0.25">
      <c r="A52" s="84" t="s">
        <v>880</v>
      </c>
      <c r="C52" s="346">
        <v>6</v>
      </c>
    </row>
    <row r="53" spans="1:3" x14ac:dyDescent="0.25">
      <c r="C53" s="345"/>
    </row>
    <row r="54" spans="1:3" ht="17.25" x14ac:dyDescent="0.25">
      <c r="A54" s="1" t="s">
        <v>881</v>
      </c>
      <c r="B54" s="352" t="s">
        <v>862</v>
      </c>
      <c r="C54" s="345">
        <f>6.06*3.1+6.06*2.5</f>
        <v>33.935999999999993</v>
      </c>
    </row>
    <row r="55" spans="1:3" ht="17.25" x14ac:dyDescent="0.25">
      <c r="A55" s="1" t="s">
        <v>882</v>
      </c>
      <c r="B55" s="352" t="s">
        <v>864</v>
      </c>
      <c r="C55" s="345">
        <f>5.94*0.25+5.94*1.8</f>
        <v>12.177</v>
      </c>
    </row>
    <row r="56" spans="1:3" ht="31.5" customHeight="1" x14ac:dyDescent="0.25">
      <c r="A56" s="1" t="s">
        <v>883</v>
      </c>
      <c r="B56" s="352" t="s">
        <v>765</v>
      </c>
      <c r="C56" s="345">
        <f>6.07*0.07+6.05*0.07+6.07*0.2+6.05*0.2</f>
        <v>3.2724000000000002</v>
      </c>
    </row>
    <row r="57" spans="1:3" ht="36.75" customHeight="1" x14ac:dyDescent="0.25">
      <c r="A57" s="1" t="s">
        <v>884</v>
      </c>
      <c r="B57" s="352" t="s">
        <v>767</v>
      </c>
      <c r="C57" s="345">
        <f>5.95*0.07+5.93*0.07+5.95*0.2+5.93*0.2</f>
        <v>3.2076000000000002</v>
      </c>
    </row>
    <row r="58" spans="1:3" ht="17.25" x14ac:dyDescent="0.25">
      <c r="A58" s="84" t="s">
        <v>885</v>
      </c>
      <c r="B58" s="351" t="s">
        <v>268</v>
      </c>
      <c r="C58" s="346">
        <f>SUM(C54:C57)</f>
        <v>52.592999999999989</v>
      </c>
    </row>
    <row r="59" spans="1:3" x14ac:dyDescent="0.25">
      <c r="C59" s="345"/>
    </row>
    <row r="60" spans="1:3" ht="17.25" x14ac:dyDescent="0.25">
      <c r="A60" s="1" t="s">
        <v>886</v>
      </c>
      <c r="B60" s="352" t="s">
        <v>869</v>
      </c>
      <c r="C60" s="345">
        <f>6.06*2.7</f>
        <v>16.361999999999998</v>
      </c>
    </row>
    <row r="61" spans="1:3" ht="17.25" x14ac:dyDescent="0.25">
      <c r="A61" s="1" t="s">
        <v>887</v>
      </c>
      <c r="B61" s="352" t="s">
        <v>808</v>
      </c>
      <c r="C61" s="345">
        <f>5.94*2</f>
        <v>11.88</v>
      </c>
    </row>
    <row r="62" spans="1:3" ht="17.25" x14ac:dyDescent="0.25">
      <c r="A62" s="84" t="s">
        <v>888</v>
      </c>
      <c r="B62" s="351" t="s">
        <v>268</v>
      </c>
      <c r="C62" s="346">
        <f>SUM(C60:C61)</f>
        <v>28.241999999999997</v>
      </c>
    </row>
    <row r="63" spans="1:3" x14ac:dyDescent="0.25">
      <c r="C63" s="345"/>
    </row>
    <row r="64" spans="1:3" x14ac:dyDescent="0.25">
      <c r="A64" s="84" t="s">
        <v>889</v>
      </c>
      <c r="B64" s="352" t="s">
        <v>811</v>
      </c>
      <c r="C64" s="346">
        <f>2.8+5.5+2.1</f>
        <v>10.4</v>
      </c>
    </row>
    <row r="65" spans="1:3" x14ac:dyDescent="0.25">
      <c r="C65" s="345"/>
    </row>
    <row r="66" spans="1:3" x14ac:dyDescent="0.25">
      <c r="A66" s="84" t="s">
        <v>890</v>
      </c>
      <c r="B66" s="352" t="s">
        <v>777</v>
      </c>
      <c r="C66" s="346">
        <f>6.06+5.94</f>
        <v>12</v>
      </c>
    </row>
    <row r="67" spans="1:3" x14ac:dyDescent="0.25">
      <c r="C67" s="345"/>
    </row>
    <row r="68" spans="1:3" x14ac:dyDescent="0.25">
      <c r="A68" s="84" t="s">
        <v>891</v>
      </c>
      <c r="B68" s="352" t="s">
        <v>779</v>
      </c>
      <c r="C68" s="346">
        <f>2*6.06+2*5.94</f>
        <v>24</v>
      </c>
    </row>
    <row r="69" spans="1:3" x14ac:dyDescent="0.25">
      <c r="C69" s="345"/>
    </row>
    <row r="70" spans="1:3" x14ac:dyDescent="0.25">
      <c r="A70" s="84" t="s">
        <v>892</v>
      </c>
      <c r="B70" s="352" t="s">
        <v>779</v>
      </c>
      <c r="C70" s="346">
        <f>2*6.06+2*5.94</f>
        <v>24</v>
      </c>
    </row>
    <row r="73" spans="1:3" ht="17.25" x14ac:dyDescent="0.25">
      <c r="A73" s="1" t="s">
        <v>893</v>
      </c>
      <c r="B73" s="352" t="s">
        <v>784</v>
      </c>
      <c r="C73" s="345">
        <f>36*0.6</f>
        <v>21.599999999999998</v>
      </c>
    </row>
    <row r="74" spans="1:3" ht="17.25" x14ac:dyDescent="0.25">
      <c r="A74" s="1" t="s">
        <v>894</v>
      </c>
      <c r="B74" s="352" t="s">
        <v>895</v>
      </c>
      <c r="C74" s="345">
        <f>6*2.5*0.5</f>
        <v>7.5</v>
      </c>
    </row>
    <row r="75" spans="1:3" ht="17.25" x14ac:dyDescent="0.25">
      <c r="A75" s="1" t="s">
        <v>896</v>
      </c>
      <c r="B75" s="352" t="s">
        <v>897</v>
      </c>
      <c r="C75" s="345">
        <f>6*1.8*0.5</f>
        <v>5.4</v>
      </c>
    </row>
    <row r="76" spans="1:3" ht="17.25" x14ac:dyDescent="0.25">
      <c r="A76" s="1" t="s">
        <v>898</v>
      </c>
      <c r="B76" s="352" t="s">
        <v>899</v>
      </c>
      <c r="C76" s="345">
        <f>0.13*6</f>
        <v>0.78</v>
      </c>
    </row>
    <row r="77" spans="1:3" ht="17.25" x14ac:dyDescent="0.25">
      <c r="A77" s="1" t="s">
        <v>900</v>
      </c>
      <c r="B77" s="352" t="s">
        <v>899</v>
      </c>
      <c r="C77" s="345">
        <f>0.13*6</f>
        <v>0.78</v>
      </c>
    </row>
    <row r="78" spans="1:3" ht="17.25" x14ac:dyDescent="0.25">
      <c r="A78" s="365" t="s">
        <v>901</v>
      </c>
      <c r="B78" s="354" t="s">
        <v>268</v>
      </c>
      <c r="C78" s="347">
        <f>SUM(C73:C77)</f>
        <v>36.06</v>
      </c>
    </row>
    <row r="79" spans="1:3" x14ac:dyDescent="0.25">
      <c r="C79" s="345"/>
    </row>
    <row r="80" spans="1:3" ht="17.25" x14ac:dyDescent="0.25">
      <c r="A80" s="84" t="s">
        <v>902</v>
      </c>
      <c r="B80" s="352" t="s">
        <v>903</v>
      </c>
      <c r="C80" s="346">
        <f>37.36*0.15</f>
        <v>5.6040000000000001</v>
      </c>
    </row>
    <row r="81" spans="1:3" x14ac:dyDescent="0.25">
      <c r="C81" s="345"/>
    </row>
    <row r="82" spans="1:3" ht="17.25" x14ac:dyDescent="0.25">
      <c r="A82" s="84" t="s">
        <v>904</v>
      </c>
      <c r="C82" s="346">
        <v>6</v>
      </c>
    </row>
    <row r="83" spans="1:3" x14ac:dyDescent="0.25">
      <c r="C83" s="345"/>
    </row>
    <row r="84" spans="1:3" ht="17.25" x14ac:dyDescent="0.25">
      <c r="A84" s="1" t="s">
        <v>905</v>
      </c>
      <c r="B84" s="352" t="s">
        <v>906</v>
      </c>
      <c r="C84" s="345">
        <f>6*3.1+6*2.5</f>
        <v>33.6</v>
      </c>
    </row>
    <row r="85" spans="1:3" ht="17.25" x14ac:dyDescent="0.25">
      <c r="A85" s="1" t="s">
        <v>907</v>
      </c>
      <c r="B85" s="352" t="s">
        <v>908</v>
      </c>
      <c r="C85" s="345">
        <f>6*0.25+6*1.8</f>
        <v>12.3</v>
      </c>
    </row>
    <row r="86" spans="1:3" ht="28.5" customHeight="1" x14ac:dyDescent="0.25">
      <c r="A86" s="1" t="s">
        <v>909</v>
      </c>
      <c r="B86" s="352" t="s">
        <v>910</v>
      </c>
      <c r="C86" s="345">
        <f>6*0.07+6*0.07+6*0.2+6*0.2</f>
        <v>3.24</v>
      </c>
    </row>
    <row r="87" spans="1:3" ht="31.5" customHeight="1" x14ac:dyDescent="0.25">
      <c r="A87" s="1" t="s">
        <v>911</v>
      </c>
      <c r="B87" s="352" t="s">
        <v>910</v>
      </c>
      <c r="C87" s="345">
        <f>6*0.07+6*0.07+6*0.2+6*0.2</f>
        <v>3.24</v>
      </c>
    </row>
    <row r="88" spans="1:3" ht="17.25" x14ac:dyDescent="0.25">
      <c r="A88" s="84" t="s">
        <v>912</v>
      </c>
      <c r="B88" s="351" t="s">
        <v>268</v>
      </c>
      <c r="C88" s="346">
        <f>SUM(C84:C87)</f>
        <v>52.38000000000001</v>
      </c>
    </row>
    <row r="89" spans="1:3" x14ac:dyDescent="0.25">
      <c r="C89" s="345"/>
    </row>
    <row r="90" spans="1:3" ht="17.25" x14ac:dyDescent="0.25">
      <c r="A90" s="1" t="s">
        <v>913</v>
      </c>
      <c r="B90" s="352" t="s">
        <v>914</v>
      </c>
      <c r="C90" s="345">
        <f>6*2.7</f>
        <v>16.200000000000003</v>
      </c>
    </row>
    <row r="91" spans="1:3" ht="17.25" x14ac:dyDescent="0.25">
      <c r="A91" s="1" t="s">
        <v>915</v>
      </c>
      <c r="B91" s="352" t="s">
        <v>916</v>
      </c>
      <c r="C91" s="345">
        <f>6*2</f>
        <v>12</v>
      </c>
    </row>
    <row r="92" spans="1:3" ht="17.25" x14ac:dyDescent="0.25">
      <c r="A92" s="84" t="s">
        <v>917</v>
      </c>
      <c r="B92" s="351" t="s">
        <v>268</v>
      </c>
      <c r="C92" s="346">
        <f>SUM(C90:C91)</f>
        <v>28.200000000000003</v>
      </c>
    </row>
    <row r="93" spans="1:3" x14ac:dyDescent="0.25">
      <c r="C93" s="345"/>
    </row>
    <row r="94" spans="1:3" x14ac:dyDescent="0.25">
      <c r="A94" s="84" t="s">
        <v>918</v>
      </c>
      <c r="B94" s="352" t="s">
        <v>811</v>
      </c>
      <c r="C94" s="346">
        <f>2.8+5.5+2.1</f>
        <v>10.4</v>
      </c>
    </row>
    <row r="95" spans="1:3" x14ac:dyDescent="0.25">
      <c r="C95" s="345"/>
    </row>
    <row r="96" spans="1:3" x14ac:dyDescent="0.25">
      <c r="A96" s="84" t="s">
        <v>919</v>
      </c>
      <c r="B96" s="352" t="s">
        <v>920</v>
      </c>
      <c r="C96" s="346">
        <f>6+6</f>
        <v>12</v>
      </c>
    </row>
    <row r="97" spans="1:3" x14ac:dyDescent="0.25">
      <c r="C97" s="345"/>
    </row>
    <row r="98" spans="1:3" x14ac:dyDescent="0.25">
      <c r="A98" s="84" t="s">
        <v>921</v>
      </c>
      <c r="B98" s="352" t="s">
        <v>922</v>
      </c>
      <c r="C98" s="346">
        <f>2*6+2*6</f>
        <v>24</v>
      </c>
    </row>
    <row r="99" spans="1:3" x14ac:dyDescent="0.25">
      <c r="C99" s="345"/>
    </row>
    <row r="100" spans="1:3" x14ac:dyDescent="0.25">
      <c r="A100" s="84" t="s">
        <v>923</v>
      </c>
      <c r="B100" s="352" t="s">
        <v>922</v>
      </c>
      <c r="C100" s="346">
        <f>2*6+2*6</f>
        <v>24</v>
      </c>
    </row>
    <row r="103" spans="1:3" ht="17.25" x14ac:dyDescent="0.25">
      <c r="A103" s="1" t="s">
        <v>924</v>
      </c>
      <c r="B103" s="352" t="s">
        <v>784</v>
      </c>
      <c r="C103" s="345">
        <f>36*0.6</f>
        <v>21.599999999999998</v>
      </c>
    </row>
    <row r="104" spans="1:3" ht="17.25" x14ac:dyDescent="0.25">
      <c r="A104" s="1" t="s">
        <v>925</v>
      </c>
      <c r="B104" s="352" t="s">
        <v>895</v>
      </c>
      <c r="C104" s="345">
        <f>6*2.5*0.5</f>
        <v>7.5</v>
      </c>
    </row>
    <row r="105" spans="1:3" ht="17.25" x14ac:dyDescent="0.25">
      <c r="A105" s="1" t="s">
        <v>926</v>
      </c>
      <c r="B105" s="352" t="s">
        <v>897</v>
      </c>
      <c r="C105" s="345">
        <f>6*1.8*0.5</f>
        <v>5.4</v>
      </c>
    </row>
    <row r="106" spans="1:3" ht="17.25" x14ac:dyDescent="0.25">
      <c r="A106" s="1" t="s">
        <v>927</v>
      </c>
      <c r="B106" s="352" t="s">
        <v>899</v>
      </c>
      <c r="C106" s="345">
        <f>0.13*6</f>
        <v>0.78</v>
      </c>
    </row>
    <row r="107" spans="1:3" ht="17.25" x14ac:dyDescent="0.25">
      <c r="A107" s="1" t="s">
        <v>928</v>
      </c>
      <c r="B107" s="352" t="s">
        <v>899</v>
      </c>
      <c r="C107" s="345">
        <f>0.13*6</f>
        <v>0.78</v>
      </c>
    </row>
    <row r="108" spans="1:3" ht="17.25" x14ac:dyDescent="0.25">
      <c r="A108" s="365" t="s">
        <v>929</v>
      </c>
      <c r="B108" s="354" t="s">
        <v>268</v>
      </c>
      <c r="C108" s="347">
        <f>SUM(C103:C107)</f>
        <v>36.06</v>
      </c>
    </row>
    <row r="109" spans="1:3" x14ac:dyDescent="0.25">
      <c r="C109" s="345"/>
    </row>
    <row r="110" spans="1:3" ht="17.25" x14ac:dyDescent="0.25">
      <c r="A110" s="84" t="s">
        <v>930</v>
      </c>
      <c r="B110" s="352" t="s">
        <v>903</v>
      </c>
      <c r="C110" s="346">
        <f>37.36*0.15</f>
        <v>5.6040000000000001</v>
      </c>
    </row>
    <row r="111" spans="1:3" x14ac:dyDescent="0.25">
      <c r="C111" s="345"/>
    </row>
    <row r="112" spans="1:3" ht="17.25" x14ac:dyDescent="0.25">
      <c r="A112" s="84" t="s">
        <v>931</v>
      </c>
      <c r="C112" s="346">
        <v>6</v>
      </c>
    </row>
    <row r="113" spans="1:3" x14ac:dyDescent="0.25">
      <c r="C113" s="345"/>
    </row>
    <row r="114" spans="1:3" ht="17.25" x14ac:dyDescent="0.25">
      <c r="A114" s="1" t="s">
        <v>932</v>
      </c>
      <c r="B114" s="352" t="s">
        <v>906</v>
      </c>
      <c r="C114" s="345">
        <f>6*3.1+6*2.5</f>
        <v>33.6</v>
      </c>
    </row>
    <row r="115" spans="1:3" ht="17.25" x14ac:dyDescent="0.25">
      <c r="A115" s="1" t="s">
        <v>933</v>
      </c>
      <c r="B115" s="352" t="s">
        <v>908</v>
      </c>
      <c r="C115" s="345">
        <f>6*0.25+6*1.8</f>
        <v>12.3</v>
      </c>
    </row>
    <row r="116" spans="1:3" ht="17.25" x14ac:dyDescent="0.25">
      <c r="A116" s="1" t="s">
        <v>934</v>
      </c>
      <c r="B116" s="352" t="s">
        <v>910</v>
      </c>
      <c r="C116" s="345">
        <f>6*0.07+6*0.07+6*0.2+6*0.2</f>
        <v>3.24</v>
      </c>
    </row>
    <row r="117" spans="1:3" ht="17.25" x14ac:dyDescent="0.25">
      <c r="A117" s="1" t="s">
        <v>935</v>
      </c>
      <c r="B117" s="352" t="s">
        <v>910</v>
      </c>
      <c r="C117" s="345">
        <f>6*0.07+6*0.07+6*0.2+6*0.2</f>
        <v>3.24</v>
      </c>
    </row>
    <row r="118" spans="1:3" ht="17.25" x14ac:dyDescent="0.25">
      <c r="A118" s="84" t="s">
        <v>936</v>
      </c>
      <c r="B118" s="351" t="s">
        <v>268</v>
      </c>
      <c r="C118" s="346">
        <f>SUM(C114:C117)</f>
        <v>52.38000000000001</v>
      </c>
    </row>
    <row r="119" spans="1:3" x14ac:dyDescent="0.25">
      <c r="C119" s="345"/>
    </row>
    <row r="120" spans="1:3" ht="17.25" x14ac:dyDescent="0.25">
      <c r="A120" s="1" t="s">
        <v>937</v>
      </c>
      <c r="B120" s="352" t="s">
        <v>914</v>
      </c>
      <c r="C120" s="345">
        <f>6*2.7</f>
        <v>16.200000000000003</v>
      </c>
    </row>
    <row r="121" spans="1:3" ht="17.25" x14ac:dyDescent="0.25">
      <c r="A121" s="1" t="s">
        <v>938</v>
      </c>
      <c r="B121" s="352" t="s">
        <v>916</v>
      </c>
      <c r="C121" s="345">
        <f>6*2</f>
        <v>12</v>
      </c>
    </row>
    <row r="122" spans="1:3" ht="17.25" x14ac:dyDescent="0.25">
      <c r="A122" s="84" t="s">
        <v>939</v>
      </c>
      <c r="B122" s="351" t="s">
        <v>268</v>
      </c>
      <c r="C122" s="346">
        <f>SUM(C120:C121)</f>
        <v>28.200000000000003</v>
      </c>
    </row>
    <row r="123" spans="1:3" x14ac:dyDescent="0.25">
      <c r="C123" s="345"/>
    </row>
    <row r="124" spans="1:3" x14ac:dyDescent="0.25">
      <c r="A124" s="84" t="s">
        <v>940</v>
      </c>
      <c r="B124" s="352" t="s">
        <v>811</v>
      </c>
      <c r="C124" s="346">
        <f>2.8+5.5+2.1</f>
        <v>10.4</v>
      </c>
    </row>
    <row r="125" spans="1:3" x14ac:dyDescent="0.25">
      <c r="C125" s="345"/>
    </row>
    <row r="126" spans="1:3" x14ac:dyDescent="0.25">
      <c r="A126" s="84" t="s">
        <v>941</v>
      </c>
      <c r="B126" s="352" t="s">
        <v>920</v>
      </c>
      <c r="C126" s="346">
        <f>6+6</f>
        <v>12</v>
      </c>
    </row>
    <row r="127" spans="1:3" x14ac:dyDescent="0.25">
      <c r="C127" s="345"/>
    </row>
    <row r="128" spans="1:3" x14ac:dyDescent="0.25">
      <c r="A128" s="84" t="s">
        <v>942</v>
      </c>
      <c r="B128" s="352" t="s">
        <v>922</v>
      </c>
      <c r="C128" s="346">
        <f>2*6+2*6</f>
        <v>24</v>
      </c>
    </row>
    <row r="129" spans="1:3" x14ac:dyDescent="0.25">
      <c r="C129" s="345"/>
    </row>
    <row r="130" spans="1:3" x14ac:dyDescent="0.25">
      <c r="A130" s="84" t="s">
        <v>943</v>
      </c>
      <c r="B130" s="352" t="s">
        <v>922</v>
      </c>
      <c r="C130" s="346">
        <f>2*6+2*6</f>
        <v>24</v>
      </c>
    </row>
    <row r="133" spans="1:3" ht="17.25" x14ac:dyDescent="0.25">
      <c r="A133" s="1" t="s">
        <v>944</v>
      </c>
      <c r="B133" s="352" t="s">
        <v>784</v>
      </c>
      <c r="C133" s="345">
        <f>36*0.6</f>
        <v>21.599999999999998</v>
      </c>
    </row>
    <row r="134" spans="1:3" ht="17.25" x14ac:dyDescent="0.25">
      <c r="A134" s="1" t="s">
        <v>945</v>
      </c>
      <c r="B134" s="352" t="s">
        <v>895</v>
      </c>
      <c r="C134" s="345">
        <f>6*2.5*0.5</f>
        <v>7.5</v>
      </c>
    </row>
    <row r="135" spans="1:3" ht="17.25" x14ac:dyDescent="0.25">
      <c r="A135" s="1" t="s">
        <v>946</v>
      </c>
      <c r="B135" s="352" t="s">
        <v>897</v>
      </c>
      <c r="C135" s="345">
        <f>6*1.8*0.5</f>
        <v>5.4</v>
      </c>
    </row>
    <row r="136" spans="1:3" ht="17.25" x14ac:dyDescent="0.25">
      <c r="A136" s="1" t="s">
        <v>947</v>
      </c>
      <c r="B136" s="352" t="s">
        <v>899</v>
      </c>
      <c r="C136" s="345">
        <f>0.13*6</f>
        <v>0.78</v>
      </c>
    </row>
    <row r="137" spans="1:3" ht="17.25" x14ac:dyDescent="0.25">
      <c r="A137" s="1" t="s">
        <v>948</v>
      </c>
      <c r="B137" s="352" t="s">
        <v>899</v>
      </c>
      <c r="C137" s="345">
        <f>0.13*6</f>
        <v>0.78</v>
      </c>
    </row>
    <row r="138" spans="1:3" ht="17.25" x14ac:dyDescent="0.25">
      <c r="A138" s="365" t="s">
        <v>949</v>
      </c>
      <c r="B138" s="354" t="s">
        <v>268</v>
      </c>
      <c r="C138" s="347">
        <f>SUM(C133:C137)</f>
        <v>36.06</v>
      </c>
    </row>
    <row r="139" spans="1:3" x14ac:dyDescent="0.25">
      <c r="C139" s="345"/>
    </row>
    <row r="140" spans="1:3" ht="17.25" x14ac:dyDescent="0.25">
      <c r="A140" s="84" t="s">
        <v>950</v>
      </c>
      <c r="B140" s="352" t="s">
        <v>903</v>
      </c>
      <c r="C140" s="346">
        <f>37.36*0.15</f>
        <v>5.6040000000000001</v>
      </c>
    </row>
    <row r="141" spans="1:3" x14ac:dyDescent="0.25">
      <c r="C141" s="345"/>
    </row>
    <row r="142" spans="1:3" ht="17.25" x14ac:dyDescent="0.25">
      <c r="A142" s="84" t="s">
        <v>951</v>
      </c>
      <c r="C142" s="346">
        <v>6</v>
      </c>
    </row>
    <row r="143" spans="1:3" x14ac:dyDescent="0.25">
      <c r="C143" s="345"/>
    </row>
    <row r="144" spans="1:3" ht="17.25" x14ac:dyDescent="0.25">
      <c r="A144" s="1" t="s">
        <v>952</v>
      </c>
      <c r="B144" s="352" t="s">
        <v>906</v>
      </c>
      <c r="C144" s="345">
        <f>6*3.1+6*2.5</f>
        <v>33.6</v>
      </c>
    </row>
    <row r="145" spans="1:3" ht="17.25" x14ac:dyDescent="0.25">
      <c r="A145" s="1" t="s">
        <v>953</v>
      </c>
      <c r="B145" s="352" t="s">
        <v>908</v>
      </c>
      <c r="C145" s="345">
        <f>6*0.25+6*1.8</f>
        <v>12.3</v>
      </c>
    </row>
    <row r="146" spans="1:3" ht="17.25" x14ac:dyDescent="0.25">
      <c r="A146" s="1" t="s">
        <v>954</v>
      </c>
      <c r="B146" s="352" t="s">
        <v>910</v>
      </c>
      <c r="C146" s="345">
        <f>6*0.07+6*0.07+6*0.2+6*0.2</f>
        <v>3.24</v>
      </c>
    </row>
    <row r="147" spans="1:3" ht="17.25" x14ac:dyDescent="0.25">
      <c r="A147" s="1" t="s">
        <v>955</v>
      </c>
      <c r="B147" s="352" t="s">
        <v>910</v>
      </c>
      <c r="C147" s="345">
        <f>6*0.07+6*0.07+6*0.2+6*0.2</f>
        <v>3.24</v>
      </c>
    </row>
    <row r="148" spans="1:3" ht="17.25" x14ac:dyDescent="0.25">
      <c r="A148" s="84" t="s">
        <v>956</v>
      </c>
      <c r="B148" s="351" t="s">
        <v>268</v>
      </c>
      <c r="C148" s="346">
        <f>SUM(C144:C147)</f>
        <v>52.38000000000001</v>
      </c>
    </row>
    <row r="149" spans="1:3" x14ac:dyDescent="0.25">
      <c r="C149" s="345"/>
    </row>
    <row r="150" spans="1:3" ht="17.25" x14ac:dyDescent="0.25">
      <c r="A150" s="1" t="s">
        <v>957</v>
      </c>
      <c r="B150" s="352" t="s">
        <v>914</v>
      </c>
      <c r="C150" s="345">
        <f>6*2.7</f>
        <v>16.200000000000003</v>
      </c>
    </row>
    <row r="151" spans="1:3" ht="17.25" x14ac:dyDescent="0.25">
      <c r="A151" s="1" t="s">
        <v>958</v>
      </c>
      <c r="B151" s="352" t="s">
        <v>916</v>
      </c>
      <c r="C151" s="345">
        <f>6*2</f>
        <v>12</v>
      </c>
    </row>
    <row r="152" spans="1:3" ht="17.25" x14ac:dyDescent="0.25">
      <c r="A152" s="84" t="s">
        <v>959</v>
      </c>
      <c r="B152" s="351" t="s">
        <v>268</v>
      </c>
      <c r="C152" s="346">
        <f>SUM(C150:C151)</f>
        <v>28.200000000000003</v>
      </c>
    </row>
    <row r="153" spans="1:3" x14ac:dyDescent="0.25">
      <c r="C153" s="345"/>
    </row>
    <row r="154" spans="1:3" x14ac:dyDescent="0.25">
      <c r="A154" s="84" t="s">
        <v>960</v>
      </c>
      <c r="B154" s="352" t="s">
        <v>811</v>
      </c>
      <c r="C154" s="346">
        <f>2.8+5.5+2.1</f>
        <v>10.4</v>
      </c>
    </row>
    <row r="155" spans="1:3" x14ac:dyDescent="0.25">
      <c r="C155" s="345"/>
    </row>
    <row r="156" spans="1:3" x14ac:dyDescent="0.25">
      <c r="A156" s="84" t="s">
        <v>961</v>
      </c>
      <c r="B156" s="352" t="s">
        <v>920</v>
      </c>
      <c r="C156" s="346">
        <f>6+6</f>
        <v>12</v>
      </c>
    </row>
    <row r="157" spans="1:3" x14ac:dyDescent="0.25">
      <c r="C157" s="345"/>
    </row>
    <row r="158" spans="1:3" x14ac:dyDescent="0.25">
      <c r="A158" s="84" t="s">
        <v>962</v>
      </c>
      <c r="B158" s="352" t="s">
        <v>922</v>
      </c>
      <c r="C158" s="346">
        <f>2*6+2*6</f>
        <v>24</v>
      </c>
    </row>
    <row r="159" spans="1:3" x14ac:dyDescent="0.25">
      <c r="C159" s="345"/>
    </row>
    <row r="160" spans="1:3" x14ac:dyDescent="0.25">
      <c r="A160" s="84" t="s">
        <v>963</v>
      </c>
      <c r="B160" s="352" t="s">
        <v>922</v>
      </c>
      <c r="C160" s="346">
        <f>2*6+2*6</f>
        <v>24</v>
      </c>
    </row>
  </sheetData>
  <mergeCells count="2">
    <mergeCell ref="B8:C8"/>
    <mergeCell ref="B9:C9"/>
  </mergeCells>
  <pageMargins left="0.51181102362204722" right="0.51181102362204722" top="0.78740157480314965" bottom="0.78740157480314965" header="0.31496062992125984" footer="0.31496062992125984"/>
  <pageSetup paperSize="9" orientation="portrait" verticalDpi="0" r:id="rId1"/>
  <rowBreaks count="1" manualBreakCount="1">
    <brk id="8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17D43-4808-4F9C-8284-7D9B74AD8C17}">
  <dimension ref="A1:H178"/>
  <sheetViews>
    <sheetView zoomScale="120" zoomScaleNormal="120" workbookViewId="0">
      <selection activeCell="D260" sqref="D238:D260"/>
    </sheetView>
  </sheetViews>
  <sheetFormatPr defaultRowHeight="15" x14ac:dyDescent="0.25"/>
  <cols>
    <col min="1" max="1" width="32.28515625" style="1" customWidth="1"/>
    <col min="2" max="2" width="37.28515625" style="352" customWidth="1"/>
    <col min="3" max="3" width="11.42578125" style="344" customWidth="1"/>
    <col min="4" max="8" width="25.7109375" style="1" customWidth="1"/>
    <col min="9" max="16384" width="9.140625" style="1"/>
  </cols>
  <sheetData>
    <row r="1" spans="1:8" ht="23.25" x14ac:dyDescent="0.25">
      <c r="A1" s="252" t="s">
        <v>564</v>
      </c>
    </row>
    <row r="3" spans="1:8" ht="78.75" x14ac:dyDescent="0.25">
      <c r="A3" s="349" t="s">
        <v>565</v>
      </c>
    </row>
    <row r="4" spans="1:8" x14ac:dyDescent="0.25">
      <c r="A4" s="253" t="s">
        <v>566</v>
      </c>
    </row>
    <row r="6" spans="1:8" x14ac:dyDescent="0.25">
      <c r="A6" s="84" t="s">
        <v>606</v>
      </c>
      <c r="B6" s="362" t="s">
        <v>964</v>
      </c>
      <c r="C6" s="363"/>
      <c r="D6" s="254"/>
      <c r="E6" s="110"/>
      <c r="F6" s="110"/>
      <c r="G6" s="110"/>
      <c r="H6" s="110"/>
    </row>
    <row r="7" spans="1:8" x14ac:dyDescent="0.25">
      <c r="B7" s="341" t="s">
        <v>965</v>
      </c>
      <c r="C7" s="342"/>
      <c r="D7" s="84"/>
    </row>
    <row r="8" spans="1:8" x14ac:dyDescent="0.25">
      <c r="B8" s="351" t="s">
        <v>609</v>
      </c>
      <c r="C8" s="343" t="s">
        <v>610</v>
      </c>
      <c r="D8" s="84"/>
    </row>
    <row r="9" spans="1:8" ht="17.25" x14ac:dyDescent="0.25">
      <c r="A9" s="1" t="s">
        <v>966</v>
      </c>
      <c r="B9" s="352" t="s">
        <v>784</v>
      </c>
      <c r="C9" s="345">
        <f>36*0.6</f>
        <v>21.599999999999998</v>
      </c>
    </row>
    <row r="10" spans="1:8" ht="17.25" x14ac:dyDescent="0.25">
      <c r="A10" s="1" t="s">
        <v>967</v>
      </c>
      <c r="B10" s="352" t="s">
        <v>968</v>
      </c>
      <c r="C10" s="345">
        <f>5.71*2.5*0.5</f>
        <v>7.1375000000000002</v>
      </c>
    </row>
    <row r="11" spans="1:8" ht="17.25" x14ac:dyDescent="0.25">
      <c r="A11" s="1" t="s">
        <v>969</v>
      </c>
      <c r="B11" s="352" t="s">
        <v>970</v>
      </c>
      <c r="C11" s="345">
        <f>6.29*1.8*0.5</f>
        <v>5.6610000000000005</v>
      </c>
    </row>
    <row r="12" spans="1:8" ht="17.25" x14ac:dyDescent="0.25">
      <c r="A12" s="1" t="s">
        <v>971</v>
      </c>
      <c r="B12" s="352" t="s">
        <v>972</v>
      </c>
      <c r="C12" s="345">
        <f>0.13*5.71</f>
        <v>0.74230000000000007</v>
      </c>
    </row>
    <row r="13" spans="1:8" ht="17.25" x14ac:dyDescent="0.25">
      <c r="A13" s="1" t="s">
        <v>973</v>
      </c>
      <c r="B13" s="352" t="s">
        <v>974</v>
      </c>
      <c r="C13" s="345">
        <f>0.13*6.29</f>
        <v>0.81769999999999998</v>
      </c>
    </row>
    <row r="14" spans="1:8" ht="17.25" x14ac:dyDescent="0.25">
      <c r="A14" s="365" t="s">
        <v>975</v>
      </c>
      <c r="B14" s="354" t="s">
        <v>268</v>
      </c>
      <c r="C14" s="347">
        <f>SUM(C9:C13)</f>
        <v>35.958500000000001</v>
      </c>
    </row>
    <row r="15" spans="1:8" x14ac:dyDescent="0.25">
      <c r="C15" s="345"/>
    </row>
    <row r="16" spans="1:8" ht="17.25" x14ac:dyDescent="0.25">
      <c r="A16" s="84" t="s">
        <v>976</v>
      </c>
      <c r="B16" s="352" t="s">
        <v>977</v>
      </c>
      <c r="C16" s="346">
        <f>37.42*0.15</f>
        <v>5.6130000000000004</v>
      </c>
    </row>
    <row r="17" spans="1:3" x14ac:dyDescent="0.25">
      <c r="C17" s="345"/>
    </row>
    <row r="18" spans="1:3" ht="17.25" x14ac:dyDescent="0.25">
      <c r="A18" s="84" t="s">
        <v>978</v>
      </c>
      <c r="C18" s="346">
        <v>6</v>
      </c>
    </row>
    <row r="19" spans="1:3" x14ac:dyDescent="0.25">
      <c r="C19" s="345"/>
    </row>
    <row r="20" spans="1:3" ht="17.25" x14ac:dyDescent="0.25">
      <c r="A20" s="1" t="s">
        <v>861</v>
      </c>
      <c r="B20" s="352" t="s">
        <v>862</v>
      </c>
      <c r="C20" s="345">
        <f>6.06*3.1+6.06*2.5</f>
        <v>33.935999999999993</v>
      </c>
    </row>
    <row r="21" spans="1:3" ht="17.25" x14ac:dyDescent="0.25">
      <c r="A21" s="1" t="s">
        <v>863</v>
      </c>
      <c r="B21" s="352" t="s">
        <v>864</v>
      </c>
      <c r="C21" s="345">
        <f>5.94*0.25+5.94*1.8</f>
        <v>12.177</v>
      </c>
    </row>
    <row r="22" spans="1:3" ht="37.5" customHeight="1" x14ac:dyDescent="0.25">
      <c r="A22" s="1" t="s">
        <v>865</v>
      </c>
      <c r="B22" s="352" t="s">
        <v>765</v>
      </c>
      <c r="C22" s="345">
        <f>6.07*0.07+6.05*0.07+6.07*0.2+6.05*0.2</f>
        <v>3.2724000000000002</v>
      </c>
    </row>
    <row r="23" spans="1:3" ht="34.5" customHeight="1" x14ac:dyDescent="0.25">
      <c r="A23" s="1" t="s">
        <v>866</v>
      </c>
      <c r="B23" s="352" t="s">
        <v>767</v>
      </c>
      <c r="C23" s="345">
        <f>5.95*0.07+5.93*0.07+5.95*0.2+5.93*0.2</f>
        <v>3.2076000000000002</v>
      </c>
    </row>
    <row r="24" spans="1:3" ht="17.25" x14ac:dyDescent="0.25">
      <c r="A24" s="84" t="s">
        <v>867</v>
      </c>
      <c r="B24" s="351" t="s">
        <v>268</v>
      </c>
      <c r="C24" s="346">
        <f>SUM(C20:C23)</f>
        <v>52.592999999999989</v>
      </c>
    </row>
    <row r="25" spans="1:3" x14ac:dyDescent="0.25">
      <c r="C25" s="345"/>
    </row>
    <row r="26" spans="1:3" ht="17.25" x14ac:dyDescent="0.25">
      <c r="A26" s="1" t="s">
        <v>868</v>
      </c>
      <c r="B26" s="352" t="s">
        <v>869</v>
      </c>
      <c r="C26" s="345">
        <f>6.06*2.7</f>
        <v>16.361999999999998</v>
      </c>
    </row>
    <row r="27" spans="1:3" ht="17.25" x14ac:dyDescent="0.25">
      <c r="A27" s="1" t="s">
        <v>870</v>
      </c>
      <c r="B27" s="352" t="s">
        <v>808</v>
      </c>
      <c r="C27" s="345">
        <f>5.94*2</f>
        <v>11.88</v>
      </c>
    </row>
    <row r="28" spans="1:3" ht="17.25" x14ac:dyDescent="0.25">
      <c r="A28" s="84" t="s">
        <v>871</v>
      </c>
      <c r="B28" s="351" t="s">
        <v>268</v>
      </c>
      <c r="C28" s="346">
        <f>SUM(C26:C27)</f>
        <v>28.241999999999997</v>
      </c>
    </row>
    <row r="29" spans="1:3" x14ac:dyDescent="0.25">
      <c r="C29" s="345"/>
    </row>
    <row r="30" spans="1:3" x14ac:dyDescent="0.25">
      <c r="A30" s="84" t="s">
        <v>810</v>
      </c>
      <c r="B30" s="352" t="s">
        <v>811</v>
      </c>
      <c r="C30" s="346">
        <f>2.8+5.5+2.1</f>
        <v>10.4</v>
      </c>
    </row>
    <row r="31" spans="1:3" x14ac:dyDescent="0.25">
      <c r="C31" s="345"/>
    </row>
    <row r="32" spans="1:3" x14ac:dyDescent="0.25">
      <c r="A32" s="84" t="s">
        <v>812</v>
      </c>
      <c r="B32" s="352" t="s">
        <v>777</v>
      </c>
      <c r="C32" s="346">
        <f>6.06+5.94</f>
        <v>12</v>
      </c>
    </row>
    <row r="33" spans="1:3" x14ac:dyDescent="0.25">
      <c r="C33" s="345"/>
    </row>
    <row r="34" spans="1:3" x14ac:dyDescent="0.25">
      <c r="A34" s="84" t="s">
        <v>813</v>
      </c>
      <c r="B34" s="352" t="s">
        <v>779</v>
      </c>
      <c r="C34" s="346">
        <f>2*6.06+2*5.94</f>
        <v>24</v>
      </c>
    </row>
    <row r="35" spans="1:3" x14ac:dyDescent="0.25">
      <c r="C35" s="345"/>
    </row>
    <row r="36" spans="1:3" x14ac:dyDescent="0.25">
      <c r="A36" s="84" t="s">
        <v>814</v>
      </c>
      <c r="B36" s="352" t="s">
        <v>779</v>
      </c>
      <c r="C36" s="346">
        <f>2*6.06+2*5.94</f>
        <v>24</v>
      </c>
    </row>
    <row r="37" spans="1:3" x14ac:dyDescent="0.25">
      <c r="C37" s="345"/>
    </row>
    <row r="38" spans="1:3" x14ac:dyDescent="0.25">
      <c r="C38" s="345"/>
    </row>
    <row r="39" spans="1:3" ht="17.25" x14ac:dyDescent="0.25">
      <c r="A39" s="1" t="s">
        <v>872</v>
      </c>
      <c r="B39" s="352" t="s">
        <v>784</v>
      </c>
      <c r="C39" s="345">
        <f>36*0.6</f>
        <v>21.599999999999998</v>
      </c>
    </row>
    <row r="40" spans="1:3" ht="17.25" x14ac:dyDescent="0.25">
      <c r="A40" s="1" t="s">
        <v>873</v>
      </c>
      <c r="B40" s="352" t="s">
        <v>750</v>
      </c>
      <c r="C40" s="345">
        <f>6.06*2.5*0.5</f>
        <v>7.5749999999999993</v>
      </c>
    </row>
    <row r="41" spans="1:3" ht="17.25" x14ac:dyDescent="0.25">
      <c r="A41" s="1" t="s">
        <v>874</v>
      </c>
      <c r="B41" s="352" t="s">
        <v>788</v>
      </c>
      <c r="C41" s="345">
        <f>5.94*1.8*0.5</f>
        <v>5.3460000000000001</v>
      </c>
    </row>
    <row r="42" spans="1:3" ht="17.25" x14ac:dyDescent="0.25">
      <c r="A42" s="1" t="s">
        <v>875</v>
      </c>
      <c r="B42" s="352" t="s">
        <v>855</v>
      </c>
      <c r="C42" s="345">
        <f>0.13*6.06</f>
        <v>0.78779999999999994</v>
      </c>
    </row>
    <row r="43" spans="1:3" ht="17.25" x14ac:dyDescent="0.25">
      <c r="A43" s="1" t="s">
        <v>876</v>
      </c>
      <c r="B43" s="352" t="s">
        <v>792</v>
      </c>
      <c r="C43" s="345">
        <f>0.13*5.94</f>
        <v>0.77220000000000011</v>
      </c>
    </row>
    <row r="44" spans="1:3" ht="17.25" x14ac:dyDescent="0.25">
      <c r="A44" s="365" t="s">
        <v>877</v>
      </c>
      <c r="B44" s="354" t="s">
        <v>268</v>
      </c>
      <c r="C44" s="347">
        <f>SUM(C39:C43)</f>
        <v>36.080999999999996</v>
      </c>
    </row>
    <row r="45" spans="1:3" x14ac:dyDescent="0.25">
      <c r="C45" s="345"/>
    </row>
    <row r="46" spans="1:3" ht="17.25" x14ac:dyDescent="0.25">
      <c r="A46" s="84" t="s">
        <v>878</v>
      </c>
      <c r="B46" s="352" t="s">
        <v>879</v>
      </c>
      <c r="C46" s="346">
        <f>37.29*0.15</f>
        <v>5.5934999999999997</v>
      </c>
    </row>
    <row r="47" spans="1:3" x14ac:dyDescent="0.25">
      <c r="C47" s="345"/>
    </row>
    <row r="48" spans="1:3" ht="17.25" x14ac:dyDescent="0.25">
      <c r="A48" s="84" t="s">
        <v>880</v>
      </c>
      <c r="C48" s="346">
        <v>6</v>
      </c>
    </row>
    <row r="49" spans="1:3" x14ac:dyDescent="0.25">
      <c r="C49" s="345"/>
    </row>
    <row r="50" spans="1:3" ht="17.25" x14ac:dyDescent="0.25">
      <c r="A50" s="1" t="s">
        <v>881</v>
      </c>
      <c r="B50" s="352" t="s">
        <v>862</v>
      </c>
      <c r="C50" s="345">
        <f>6.06*3.1+6.06*2.5</f>
        <v>33.935999999999993</v>
      </c>
    </row>
    <row r="51" spans="1:3" ht="17.25" x14ac:dyDescent="0.25">
      <c r="A51" s="1" t="s">
        <v>882</v>
      </c>
      <c r="B51" s="352" t="s">
        <v>864</v>
      </c>
      <c r="C51" s="345">
        <f>5.94*0.25+5.94*1.8</f>
        <v>12.177</v>
      </c>
    </row>
    <row r="52" spans="1:3" ht="34.5" customHeight="1" x14ac:dyDescent="0.25">
      <c r="A52" s="1" t="s">
        <v>883</v>
      </c>
      <c r="B52" s="352" t="s">
        <v>765</v>
      </c>
      <c r="C52" s="345">
        <f>6.07*0.07+6.05*0.07+6.07*0.2+6.05*0.2</f>
        <v>3.2724000000000002</v>
      </c>
    </row>
    <row r="53" spans="1:3" ht="34.5" customHeight="1" x14ac:dyDescent="0.25">
      <c r="A53" s="1" t="s">
        <v>884</v>
      </c>
      <c r="B53" s="352" t="s">
        <v>767</v>
      </c>
      <c r="C53" s="345">
        <f>5.95*0.07+5.93*0.07+5.95*0.2+5.93*0.2</f>
        <v>3.2076000000000002</v>
      </c>
    </row>
    <row r="54" spans="1:3" ht="17.25" x14ac:dyDescent="0.25">
      <c r="A54" s="84" t="s">
        <v>885</v>
      </c>
      <c r="B54" s="351" t="s">
        <v>268</v>
      </c>
      <c r="C54" s="346">
        <f>SUM(C50:C53)</f>
        <v>52.592999999999989</v>
      </c>
    </row>
    <row r="55" spans="1:3" x14ac:dyDescent="0.25">
      <c r="C55" s="345"/>
    </row>
    <row r="56" spans="1:3" ht="17.25" x14ac:dyDescent="0.25">
      <c r="A56" s="1" t="s">
        <v>886</v>
      </c>
      <c r="B56" s="352" t="s">
        <v>869</v>
      </c>
      <c r="C56" s="345">
        <f>6.06*2.7</f>
        <v>16.361999999999998</v>
      </c>
    </row>
    <row r="57" spans="1:3" ht="17.25" x14ac:dyDescent="0.25">
      <c r="A57" s="1" t="s">
        <v>887</v>
      </c>
      <c r="B57" s="352" t="s">
        <v>808</v>
      </c>
      <c r="C57" s="345">
        <f>5.94*2</f>
        <v>11.88</v>
      </c>
    </row>
    <row r="58" spans="1:3" ht="17.25" x14ac:dyDescent="0.25">
      <c r="A58" s="84" t="s">
        <v>888</v>
      </c>
      <c r="B58" s="351" t="s">
        <v>268</v>
      </c>
      <c r="C58" s="346">
        <f>SUM(C56:C57)</f>
        <v>28.241999999999997</v>
      </c>
    </row>
    <row r="59" spans="1:3" x14ac:dyDescent="0.25">
      <c r="C59" s="345"/>
    </row>
    <row r="60" spans="1:3" x14ac:dyDescent="0.25">
      <c r="A60" s="84" t="s">
        <v>889</v>
      </c>
      <c r="B60" s="352" t="s">
        <v>811</v>
      </c>
      <c r="C60" s="346">
        <f>2.8+5.5+2.1</f>
        <v>10.4</v>
      </c>
    </row>
    <row r="61" spans="1:3" x14ac:dyDescent="0.25">
      <c r="C61" s="345"/>
    </row>
    <row r="62" spans="1:3" x14ac:dyDescent="0.25">
      <c r="A62" s="84" t="s">
        <v>890</v>
      </c>
      <c r="B62" s="352" t="s">
        <v>777</v>
      </c>
      <c r="C62" s="346">
        <f>6.06+5.94</f>
        <v>12</v>
      </c>
    </row>
    <row r="63" spans="1:3" x14ac:dyDescent="0.25">
      <c r="C63" s="345"/>
    </row>
    <row r="64" spans="1:3" x14ac:dyDescent="0.25">
      <c r="A64" s="84" t="s">
        <v>891</v>
      </c>
      <c r="B64" s="352" t="s">
        <v>779</v>
      </c>
      <c r="C64" s="346">
        <f>2*6.06+2*5.94</f>
        <v>24</v>
      </c>
    </row>
    <row r="65" spans="1:3" x14ac:dyDescent="0.25">
      <c r="C65" s="345"/>
    </row>
    <row r="66" spans="1:3" x14ac:dyDescent="0.25">
      <c r="A66" s="84" t="s">
        <v>892</v>
      </c>
      <c r="B66" s="352" t="s">
        <v>779</v>
      </c>
      <c r="C66" s="346">
        <f>2*6.06+2*5.94</f>
        <v>24</v>
      </c>
    </row>
    <row r="69" spans="1:3" ht="17.25" x14ac:dyDescent="0.25">
      <c r="A69" s="1" t="s">
        <v>893</v>
      </c>
      <c r="B69" s="352" t="s">
        <v>784</v>
      </c>
      <c r="C69" s="345">
        <f>36*0.6</f>
        <v>21.599999999999998</v>
      </c>
    </row>
    <row r="70" spans="1:3" ht="17.25" x14ac:dyDescent="0.25">
      <c r="A70" s="1" t="s">
        <v>894</v>
      </c>
      <c r="B70" s="352" t="s">
        <v>895</v>
      </c>
      <c r="C70" s="345">
        <f>6*2.5*0.5</f>
        <v>7.5</v>
      </c>
    </row>
    <row r="71" spans="1:3" ht="17.25" x14ac:dyDescent="0.25">
      <c r="A71" s="1" t="s">
        <v>896</v>
      </c>
      <c r="B71" s="352" t="s">
        <v>897</v>
      </c>
      <c r="C71" s="345">
        <f>6*1.8*0.5</f>
        <v>5.4</v>
      </c>
    </row>
    <row r="72" spans="1:3" ht="17.25" x14ac:dyDescent="0.25">
      <c r="A72" s="1" t="s">
        <v>898</v>
      </c>
      <c r="B72" s="352" t="s">
        <v>899</v>
      </c>
      <c r="C72" s="345">
        <f>0.13*6</f>
        <v>0.78</v>
      </c>
    </row>
    <row r="73" spans="1:3" ht="17.25" x14ac:dyDescent="0.25">
      <c r="A73" s="1" t="s">
        <v>900</v>
      </c>
      <c r="B73" s="352" t="s">
        <v>899</v>
      </c>
      <c r="C73" s="345">
        <f>0.13*6</f>
        <v>0.78</v>
      </c>
    </row>
    <row r="74" spans="1:3" ht="17.25" x14ac:dyDescent="0.25">
      <c r="A74" s="365" t="s">
        <v>901</v>
      </c>
      <c r="B74" s="354" t="s">
        <v>268</v>
      </c>
      <c r="C74" s="347">
        <f>SUM(C69:C73)</f>
        <v>36.06</v>
      </c>
    </row>
    <row r="75" spans="1:3" x14ac:dyDescent="0.25">
      <c r="C75" s="345"/>
    </row>
    <row r="76" spans="1:3" ht="17.25" x14ac:dyDescent="0.25">
      <c r="A76" s="84" t="s">
        <v>902</v>
      </c>
      <c r="B76" s="352" t="s">
        <v>903</v>
      </c>
      <c r="C76" s="346">
        <f>37.36*0.15</f>
        <v>5.6040000000000001</v>
      </c>
    </row>
    <row r="77" spans="1:3" x14ac:dyDescent="0.25">
      <c r="C77" s="345"/>
    </row>
    <row r="78" spans="1:3" ht="17.25" x14ac:dyDescent="0.25">
      <c r="A78" s="84" t="s">
        <v>904</v>
      </c>
      <c r="C78" s="346">
        <v>6</v>
      </c>
    </row>
    <row r="79" spans="1:3" x14ac:dyDescent="0.25">
      <c r="C79" s="345"/>
    </row>
    <row r="80" spans="1:3" ht="17.25" x14ac:dyDescent="0.25">
      <c r="A80" s="1" t="s">
        <v>905</v>
      </c>
      <c r="B80" s="352" t="s">
        <v>906</v>
      </c>
      <c r="C80" s="345">
        <f>6*3.1+6*2.5</f>
        <v>33.6</v>
      </c>
    </row>
    <row r="81" spans="1:3" ht="17.25" x14ac:dyDescent="0.25">
      <c r="A81" s="1" t="s">
        <v>907</v>
      </c>
      <c r="B81" s="352" t="s">
        <v>908</v>
      </c>
      <c r="C81" s="345">
        <f>6*0.25+6*1.8</f>
        <v>12.3</v>
      </c>
    </row>
    <row r="82" spans="1:3" ht="34.5" customHeight="1" x14ac:dyDescent="0.25">
      <c r="A82" s="1" t="s">
        <v>909</v>
      </c>
      <c r="B82" s="352" t="s">
        <v>910</v>
      </c>
      <c r="C82" s="345">
        <f>6*0.07+6*0.07+6*0.2+6*0.2</f>
        <v>3.24</v>
      </c>
    </row>
    <row r="83" spans="1:3" ht="36" customHeight="1" x14ac:dyDescent="0.25">
      <c r="A83" s="1" t="s">
        <v>911</v>
      </c>
      <c r="B83" s="352" t="s">
        <v>910</v>
      </c>
      <c r="C83" s="345">
        <f>6*0.07+6*0.07+6*0.2+6*0.2</f>
        <v>3.24</v>
      </c>
    </row>
    <row r="84" spans="1:3" ht="17.25" x14ac:dyDescent="0.25">
      <c r="A84" s="84" t="s">
        <v>912</v>
      </c>
      <c r="B84" s="351" t="s">
        <v>268</v>
      </c>
      <c r="C84" s="346">
        <f>SUM(C80:C83)</f>
        <v>52.38000000000001</v>
      </c>
    </row>
    <row r="85" spans="1:3" x14ac:dyDescent="0.25">
      <c r="C85" s="345"/>
    </row>
    <row r="86" spans="1:3" ht="17.25" x14ac:dyDescent="0.25">
      <c r="A86" s="1" t="s">
        <v>913</v>
      </c>
      <c r="B86" s="352" t="s">
        <v>914</v>
      </c>
      <c r="C86" s="345">
        <f>6*2.7</f>
        <v>16.200000000000003</v>
      </c>
    </row>
    <row r="87" spans="1:3" ht="17.25" x14ac:dyDescent="0.25">
      <c r="A87" s="1" t="s">
        <v>915</v>
      </c>
      <c r="B87" s="352" t="s">
        <v>916</v>
      </c>
      <c r="C87" s="345">
        <f>6*2</f>
        <v>12</v>
      </c>
    </row>
    <row r="88" spans="1:3" ht="17.25" x14ac:dyDescent="0.25">
      <c r="A88" s="84" t="s">
        <v>917</v>
      </c>
      <c r="B88" s="351" t="s">
        <v>268</v>
      </c>
      <c r="C88" s="346">
        <f>SUM(C86:C87)</f>
        <v>28.200000000000003</v>
      </c>
    </row>
    <row r="89" spans="1:3" x14ac:dyDescent="0.25">
      <c r="C89" s="345"/>
    </row>
    <row r="90" spans="1:3" x14ac:dyDescent="0.25">
      <c r="A90" s="84" t="s">
        <v>918</v>
      </c>
      <c r="B90" s="352" t="s">
        <v>811</v>
      </c>
      <c r="C90" s="346">
        <f>2.8+5.5+2.1</f>
        <v>10.4</v>
      </c>
    </row>
    <row r="91" spans="1:3" x14ac:dyDescent="0.25">
      <c r="C91" s="345"/>
    </row>
    <row r="92" spans="1:3" x14ac:dyDescent="0.25">
      <c r="A92" s="84" t="s">
        <v>919</v>
      </c>
      <c r="B92" s="352" t="s">
        <v>920</v>
      </c>
      <c r="C92" s="346">
        <f>6+6</f>
        <v>12</v>
      </c>
    </row>
    <row r="93" spans="1:3" x14ac:dyDescent="0.25">
      <c r="C93" s="345"/>
    </row>
    <row r="94" spans="1:3" x14ac:dyDescent="0.25">
      <c r="A94" s="84" t="s">
        <v>921</v>
      </c>
      <c r="B94" s="352" t="s">
        <v>922</v>
      </c>
      <c r="C94" s="346">
        <f>2*6+2*6</f>
        <v>24</v>
      </c>
    </row>
    <row r="95" spans="1:3" x14ac:dyDescent="0.25">
      <c r="C95" s="345"/>
    </row>
    <row r="96" spans="1:3" x14ac:dyDescent="0.25">
      <c r="A96" s="84" t="s">
        <v>923</v>
      </c>
      <c r="B96" s="352" t="s">
        <v>922</v>
      </c>
      <c r="C96" s="346">
        <f>2*6+2*6</f>
        <v>24</v>
      </c>
    </row>
    <row r="99" spans="1:3" ht="17.25" x14ac:dyDescent="0.25">
      <c r="A99" s="1" t="s">
        <v>924</v>
      </c>
      <c r="B99" s="352" t="s">
        <v>784</v>
      </c>
      <c r="C99" s="345">
        <f>36*0.6</f>
        <v>21.599999999999998</v>
      </c>
    </row>
    <row r="100" spans="1:3" ht="17.25" x14ac:dyDescent="0.25">
      <c r="A100" s="1" t="s">
        <v>925</v>
      </c>
      <c r="B100" s="352" t="s">
        <v>895</v>
      </c>
      <c r="C100" s="345">
        <f>6*2.5*0.5</f>
        <v>7.5</v>
      </c>
    </row>
    <row r="101" spans="1:3" ht="17.25" x14ac:dyDescent="0.25">
      <c r="A101" s="1" t="s">
        <v>926</v>
      </c>
      <c r="B101" s="352" t="s">
        <v>897</v>
      </c>
      <c r="C101" s="345">
        <f>6*1.8*0.5</f>
        <v>5.4</v>
      </c>
    </row>
    <row r="102" spans="1:3" ht="17.25" x14ac:dyDescent="0.25">
      <c r="A102" s="1" t="s">
        <v>927</v>
      </c>
      <c r="B102" s="352" t="s">
        <v>899</v>
      </c>
      <c r="C102" s="345">
        <f>0.13*6</f>
        <v>0.78</v>
      </c>
    </row>
    <row r="103" spans="1:3" ht="17.25" x14ac:dyDescent="0.25">
      <c r="A103" s="1" t="s">
        <v>928</v>
      </c>
      <c r="B103" s="352" t="s">
        <v>899</v>
      </c>
      <c r="C103" s="345">
        <f>0.13*6</f>
        <v>0.78</v>
      </c>
    </row>
    <row r="104" spans="1:3" ht="17.25" x14ac:dyDescent="0.25">
      <c r="A104" s="365" t="s">
        <v>929</v>
      </c>
      <c r="B104" s="354" t="s">
        <v>268</v>
      </c>
      <c r="C104" s="347">
        <f>SUM(C99:C103)</f>
        <v>36.06</v>
      </c>
    </row>
    <row r="105" spans="1:3" x14ac:dyDescent="0.25">
      <c r="C105" s="345"/>
    </row>
    <row r="106" spans="1:3" ht="17.25" x14ac:dyDescent="0.25">
      <c r="A106" s="84" t="s">
        <v>930</v>
      </c>
      <c r="B106" s="352" t="s">
        <v>903</v>
      </c>
      <c r="C106" s="346">
        <f>37.36*0.15</f>
        <v>5.6040000000000001</v>
      </c>
    </row>
    <row r="107" spans="1:3" x14ac:dyDescent="0.25">
      <c r="C107" s="345"/>
    </row>
    <row r="108" spans="1:3" ht="17.25" x14ac:dyDescent="0.25">
      <c r="A108" s="84" t="s">
        <v>931</v>
      </c>
      <c r="C108" s="346">
        <v>6</v>
      </c>
    </row>
    <row r="109" spans="1:3" x14ac:dyDescent="0.25">
      <c r="C109" s="345"/>
    </row>
    <row r="110" spans="1:3" ht="17.25" x14ac:dyDescent="0.25">
      <c r="A110" s="1" t="s">
        <v>932</v>
      </c>
      <c r="B110" s="352" t="s">
        <v>906</v>
      </c>
      <c r="C110" s="345">
        <f>6*3.1+6*2.5</f>
        <v>33.6</v>
      </c>
    </row>
    <row r="111" spans="1:3" ht="17.25" x14ac:dyDescent="0.25">
      <c r="A111" s="1" t="s">
        <v>933</v>
      </c>
      <c r="B111" s="352" t="s">
        <v>908</v>
      </c>
      <c r="C111" s="345">
        <f>6*0.25+6*1.8</f>
        <v>12.3</v>
      </c>
    </row>
    <row r="112" spans="1:3" ht="28.5" customHeight="1" x14ac:dyDescent="0.25">
      <c r="A112" s="1" t="s">
        <v>934</v>
      </c>
      <c r="B112" s="352" t="s">
        <v>910</v>
      </c>
      <c r="C112" s="345">
        <f>6*0.07+6*0.07+6*0.2+6*0.2</f>
        <v>3.24</v>
      </c>
    </row>
    <row r="113" spans="1:3" ht="33.75" customHeight="1" x14ac:dyDescent="0.25">
      <c r="A113" s="1" t="s">
        <v>935</v>
      </c>
      <c r="B113" s="352" t="s">
        <v>910</v>
      </c>
      <c r="C113" s="345">
        <f>6*0.07+6*0.07+6*0.2+6*0.2</f>
        <v>3.24</v>
      </c>
    </row>
    <row r="114" spans="1:3" ht="17.25" x14ac:dyDescent="0.25">
      <c r="A114" s="84" t="s">
        <v>936</v>
      </c>
      <c r="B114" s="351" t="s">
        <v>268</v>
      </c>
      <c r="C114" s="346">
        <f>SUM(C110:C113)</f>
        <v>52.38000000000001</v>
      </c>
    </row>
    <row r="115" spans="1:3" x14ac:dyDescent="0.25">
      <c r="C115" s="345"/>
    </row>
    <row r="116" spans="1:3" ht="17.25" x14ac:dyDescent="0.25">
      <c r="A116" s="1" t="s">
        <v>937</v>
      </c>
      <c r="B116" s="352" t="s">
        <v>914</v>
      </c>
      <c r="C116" s="345">
        <f>6*2.7</f>
        <v>16.200000000000003</v>
      </c>
    </row>
    <row r="117" spans="1:3" ht="17.25" x14ac:dyDescent="0.25">
      <c r="A117" s="1" t="s">
        <v>938</v>
      </c>
      <c r="B117" s="352" t="s">
        <v>916</v>
      </c>
      <c r="C117" s="345">
        <f>6*2</f>
        <v>12</v>
      </c>
    </row>
    <row r="118" spans="1:3" ht="17.25" x14ac:dyDescent="0.25">
      <c r="A118" s="84" t="s">
        <v>939</v>
      </c>
      <c r="B118" s="351" t="s">
        <v>268</v>
      </c>
      <c r="C118" s="346">
        <f>SUM(C116:C117)</f>
        <v>28.200000000000003</v>
      </c>
    </row>
    <row r="119" spans="1:3" x14ac:dyDescent="0.25">
      <c r="C119" s="345"/>
    </row>
    <row r="120" spans="1:3" x14ac:dyDescent="0.25">
      <c r="A120" s="84" t="s">
        <v>940</v>
      </c>
      <c r="B120" s="352" t="s">
        <v>811</v>
      </c>
      <c r="C120" s="346">
        <f>2.8+5.5+2.1</f>
        <v>10.4</v>
      </c>
    </row>
    <row r="121" spans="1:3" x14ac:dyDescent="0.25">
      <c r="C121" s="345"/>
    </row>
    <row r="122" spans="1:3" x14ac:dyDescent="0.25">
      <c r="A122" s="84" t="s">
        <v>941</v>
      </c>
      <c r="B122" s="352" t="s">
        <v>920</v>
      </c>
      <c r="C122" s="346">
        <f>6+6</f>
        <v>12</v>
      </c>
    </row>
    <row r="123" spans="1:3" x14ac:dyDescent="0.25">
      <c r="C123" s="345"/>
    </row>
    <row r="124" spans="1:3" x14ac:dyDescent="0.25">
      <c r="A124" s="84" t="s">
        <v>942</v>
      </c>
      <c r="B124" s="352" t="s">
        <v>922</v>
      </c>
      <c r="C124" s="346">
        <f>2*6+2*6</f>
        <v>24</v>
      </c>
    </row>
    <row r="125" spans="1:3" x14ac:dyDescent="0.25">
      <c r="C125" s="345"/>
    </row>
    <row r="126" spans="1:3" x14ac:dyDescent="0.25">
      <c r="A126" s="84" t="s">
        <v>943</v>
      </c>
      <c r="B126" s="352" t="s">
        <v>922</v>
      </c>
      <c r="C126" s="346">
        <f>2*6+2*6</f>
        <v>24</v>
      </c>
    </row>
    <row r="129" spans="1:3" ht="17.25" x14ac:dyDescent="0.25">
      <c r="A129" s="1" t="s">
        <v>944</v>
      </c>
      <c r="B129" s="352" t="s">
        <v>784</v>
      </c>
      <c r="C129" s="345">
        <f>36*0.6</f>
        <v>21.599999999999998</v>
      </c>
    </row>
    <row r="130" spans="1:3" ht="17.25" x14ac:dyDescent="0.25">
      <c r="A130" s="1" t="s">
        <v>945</v>
      </c>
      <c r="B130" s="352" t="s">
        <v>895</v>
      </c>
      <c r="C130" s="345">
        <f>6*2.5*0.5</f>
        <v>7.5</v>
      </c>
    </row>
    <row r="131" spans="1:3" ht="17.25" x14ac:dyDescent="0.25">
      <c r="A131" s="1" t="s">
        <v>946</v>
      </c>
      <c r="B131" s="352" t="s">
        <v>897</v>
      </c>
      <c r="C131" s="345">
        <f>6*1.8*0.5</f>
        <v>5.4</v>
      </c>
    </row>
    <row r="132" spans="1:3" ht="17.25" x14ac:dyDescent="0.25">
      <c r="A132" s="1" t="s">
        <v>947</v>
      </c>
      <c r="B132" s="352" t="s">
        <v>899</v>
      </c>
      <c r="C132" s="345">
        <f>0.13*6</f>
        <v>0.78</v>
      </c>
    </row>
    <row r="133" spans="1:3" ht="17.25" x14ac:dyDescent="0.25">
      <c r="A133" s="1" t="s">
        <v>948</v>
      </c>
      <c r="B133" s="352" t="s">
        <v>899</v>
      </c>
      <c r="C133" s="345">
        <f>0.13*6</f>
        <v>0.78</v>
      </c>
    </row>
    <row r="134" spans="1:3" ht="17.25" x14ac:dyDescent="0.25">
      <c r="A134" s="365" t="s">
        <v>949</v>
      </c>
      <c r="B134" s="354" t="s">
        <v>268</v>
      </c>
      <c r="C134" s="347">
        <f>SUM(C129:C133)</f>
        <v>36.06</v>
      </c>
    </row>
    <row r="135" spans="1:3" x14ac:dyDescent="0.25">
      <c r="C135" s="345"/>
    </row>
    <row r="136" spans="1:3" ht="17.25" x14ac:dyDescent="0.25">
      <c r="A136" s="84" t="s">
        <v>950</v>
      </c>
      <c r="B136" s="352" t="s">
        <v>903</v>
      </c>
      <c r="C136" s="346">
        <f>37.36*0.15</f>
        <v>5.6040000000000001</v>
      </c>
    </row>
    <row r="137" spans="1:3" x14ac:dyDescent="0.25">
      <c r="C137" s="345"/>
    </row>
    <row r="138" spans="1:3" ht="17.25" x14ac:dyDescent="0.25">
      <c r="A138" s="84" t="s">
        <v>951</v>
      </c>
      <c r="C138" s="346">
        <v>6</v>
      </c>
    </row>
    <row r="139" spans="1:3" x14ac:dyDescent="0.25">
      <c r="C139" s="345"/>
    </row>
    <row r="140" spans="1:3" ht="17.25" x14ac:dyDescent="0.25">
      <c r="A140" s="1" t="s">
        <v>952</v>
      </c>
      <c r="B140" s="352" t="s">
        <v>906</v>
      </c>
      <c r="C140" s="345">
        <f>6*3.1+6*2.5</f>
        <v>33.6</v>
      </c>
    </row>
    <row r="141" spans="1:3" ht="17.25" x14ac:dyDescent="0.25">
      <c r="A141" s="1" t="s">
        <v>953</v>
      </c>
      <c r="B141" s="352" t="s">
        <v>908</v>
      </c>
      <c r="C141" s="345">
        <f>6*0.25+6*1.8</f>
        <v>12.3</v>
      </c>
    </row>
    <row r="142" spans="1:3" ht="29.25" customHeight="1" x14ac:dyDescent="0.25">
      <c r="A142" s="1" t="s">
        <v>954</v>
      </c>
      <c r="B142" s="352" t="s">
        <v>910</v>
      </c>
      <c r="C142" s="345">
        <f>6*0.07+6*0.07+6*0.2+6*0.2</f>
        <v>3.24</v>
      </c>
    </row>
    <row r="143" spans="1:3" ht="33.75" customHeight="1" x14ac:dyDescent="0.25">
      <c r="A143" s="1" t="s">
        <v>955</v>
      </c>
      <c r="B143" s="352" t="s">
        <v>910</v>
      </c>
      <c r="C143" s="345">
        <f>6*0.07+6*0.07+6*0.2+6*0.2</f>
        <v>3.24</v>
      </c>
    </row>
    <row r="144" spans="1:3" ht="17.25" x14ac:dyDescent="0.25">
      <c r="A144" s="84" t="s">
        <v>956</v>
      </c>
      <c r="B144" s="351" t="s">
        <v>268</v>
      </c>
      <c r="C144" s="346">
        <f>SUM(C140:C143)</f>
        <v>52.38000000000001</v>
      </c>
    </row>
    <row r="145" spans="1:3" x14ac:dyDescent="0.25">
      <c r="C145" s="345"/>
    </row>
    <row r="146" spans="1:3" ht="17.25" x14ac:dyDescent="0.25">
      <c r="A146" s="1" t="s">
        <v>957</v>
      </c>
      <c r="B146" s="352" t="s">
        <v>914</v>
      </c>
      <c r="C146" s="345">
        <f>6*2.7</f>
        <v>16.200000000000003</v>
      </c>
    </row>
    <row r="147" spans="1:3" ht="17.25" x14ac:dyDescent="0.25">
      <c r="A147" s="1" t="s">
        <v>958</v>
      </c>
      <c r="B147" s="352" t="s">
        <v>916</v>
      </c>
      <c r="C147" s="345">
        <f>6*2</f>
        <v>12</v>
      </c>
    </row>
    <row r="148" spans="1:3" ht="17.25" x14ac:dyDescent="0.25">
      <c r="A148" s="84" t="s">
        <v>959</v>
      </c>
      <c r="B148" s="351" t="s">
        <v>268</v>
      </c>
      <c r="C148" s="346">
        <f>SUM(C146:C147)</f>
        <v>28.200000000000003</v>
      </c>
    </row>
    <row r="149" spans="1:3" x14ac:dyDescent="0.25">
      <c r="C149" s="345"/>
    </row>
    <row r="150" spans="1:3" x14ac:dyDescent="0.25">
      <c r="A150" s="84" t="s">
        <v>960</v>
      </c>
      <c r="B150" s="352" t="s">
        <v>811</v>
      </c>
      <c r="C150" s="346">
        <f>2.8+5.5+2.1</f>
        <v>10.4</v>
      </c>
    </row>
    <row r="151" spans="1:3" x14ac:dyDescent="0.25">
      <c r="C151" s="345"/>
    </row>
    <row r="152" spans="1:3" x14ac:dyDescent="0.25">
      <c r="A152" s="84" t="s">
        <v>961</v>
      </c>
      <c r="B152" s="352" t="s">
        <v>920</v>
      </c>
      <c r="C152" s="346">
        <f>6+6</f>
        <v>12</v>
      </c>
    </row>
    <row r="153" spans="1:3" x14ac:dyDescent="0.25">
      <c r="C153" s="345"/>
    </row>
    <row r="154" spans="1:3" x14ac:dyDescent="0.25">
      <c r="A154" s="84" t="s">
        <v>962</v>
      </c>
      <c r="B154" s="352" t="s">
        <v>922</v>
      </c>
      <c r="C154" s="346">
        <f>2*6+2*6</f>
        <v>24</v>
      </c>
    </row>
    <row r="155" spans="1:3" x14ac:dyDescent="0.25">
      <c r="C155" s="345"/>
    </row>
    <row r="156" spans="1:3" x14ac:dyDescent="0.25">
      <c r="A156" s="84" t="s">
        <v>963</v>
      </c>
      <c r="B156" s="352" t="s">
        <v>922</v>
      </c>
      <c r="C156" s="346">
        <f>2*6+2*6</f>
        <v>24</v>
      </c>
    </row>
    <row r="159" spans="1:3" ht="15.75" x14ac:dyDescent="0.25">
      <c r="A159" s="75" t="s">
        <v>264</v>
      </c>
    </row>
    <row r="160" spans="1:3" x14ac:dyDescent="0.25">
      <c r="A160" s="84" t="s">
        <v>979</v>
      </c>
    </row>
    <row r="161" spans="1:3" x14ac:dyDescent="0.25">
      <c r="A161" s="1" t="s">
        <v>980</v>
      </c>
      <c r="B161" s="352" t="s">
        <v>981</v>
      </c>
      <c r="C161" s="366">
        <f>144.1*0.6</f>
        <v>86.46</v>
      </c>
    </row>
    <row r="162" spans="1:3" x14ac:dyDescent="0.25">
      <c r="A162" s="1" t="s">
        <v>982</v>
      </c>
      <c r="B162" s="352" t="s">
        <v>983</v>
      </c>
      <c r="C162" s="366">
        <f>26.25*(1.8*0.5+0.2*0.64)</f>
        <v>26.984999999999999</v>
      </c>
    </row>
    <row r="163" spans="1:3" x14ac:dyDescent="0.25">
      <c r="A163" s="1" t="s">
        <v>984</v>
      </c>
      <c r="B163" s="352" t="s">
        <v>985</v>
      </c>
      <c r="C163" s="366">
        <f>21.8*(2.5*0.5+0.2*0.64)</f>
        <v>30.040400000000002</v>
      </c>
    </row>
    <row r="164" spans="1:3" x14ac:dyDescent="0.25">
      <c r="A164" s="1" t="s">
        <v>986</v>
      </c>
      <c r="B164" s="352" t="s">
        <v>987</v>
      </c>
      <c r="C164" s="366">
        <f>0.665*1.2</f>
        <v>0.79800000000000004</v>
      </c>
    </row>
    <row r="165" spans="1:3" x14ac:dyDescent="0.25">
      <c r="A165" s="1" t="s">
        <v>988</v>
      </c>
      <c r="B165" s="352" t="s">
        <v>989</v>
      </c>
      <c r="C165" s="366">
        <f>2*0.2*1.56</f>
        <v>0.62400000000000011</v>
      </c>
    </row>
    <row r="166" spans="1:3" x14ac:dyDescent="0.25">
      <c r="A166" s="365" t="s">
        <v>990</v>
      </c>
      <c r="B166" s="368"/>
      <c r="C166" s="367">
        <f>SUM(C161:C165)</f>
        <v>144.9074</v>
      </c>
    </row>
    <row r="168" spans="1:3" x14ac:dyDescent="0.25">
      <c r="A168" s="84" t="s">
        <v>991</v>
      </c>
    </row>
    <row r="169" spans="1:3" x14ac:dyDescent="0.25">
      <c r="A169" s="1" t="s">
        <v>992</v>
      </c>
      <c r="B169" s="352" t="s">
        <v>993</v>
      </c>
      <c r="C169" s="366">
        <f>144*0.6</f>
        <v>86.399999999999991</v>
      </c>
    </row>
    <row r="170" spans="1:3" x14ac:dyDescent="0.25">
      <c r="A170" s="1" t="s">
        <v>994</v>
      </c>
      <c r="B170" s="352" t="s">
        <v>995</v>
      </c>
      <c r="C170" s="366">
        <f>24*(1.8*0.5+0.2*0.64)</f>
        <v>24.672000000000001</v>
      </c>
    </row>
    <row r="171" spans="1:3" x14ac:dyDescent="0.25">
      <c r="A171" s="1" t="s">
        <v>996</v>
      </c>
      <c r="B171" s="352" t="s">
        <v>997</v>
      </c>
      <c r="C171" s="366">
        <f>24*(2.5*0.5+0.2*0.64)</f>
        <v>33.072000000000003</v>
      </c>
    </row>
    <row r="172" spans="1:3" x14ac:dyDescent="0.25">
      <c r="A172" s="365" t="s">
        <v>998</v>
      </c>
      <c r="B172" s="368"/>
      <c r="C172" s="367">
        <f>SUM(C169:C171)</f>
        <v>144.14400000000001</v>
      </c>
    </row>
    <row r="174" spans="1:3" x14ac:dyDescent="0.25">
      <c r="A174" s="84" t="s">
        <v>999</v>
      </c>
    </row>
    <row r="175" spans="1:3" ht="31.5" customHeight="1" x14ac:dyDescent="0.25">
      <c r="A175" s="257" t="s">
        <v>1000</v>
      </c>
      <c r="B175" s="352" t="s">
        <v>1001</v>
      </c>
      <c r="C175" s="366">
        <f>75.1*0.6+44.05*1.02*0.6</f>
        <v>72.018599999999992</v>
      </c>
    </row>
    <row r="176" spans="1:3" ht="32.25" customHeight="1" x14ac:dyDescent="0.25">
      <c r="A176" s="257" t="s">
        <v>1002</v>
      </c>
      <c r="B176" s="352" t="s">
        <v>1003</v>
      </c>
      <c r="C176" s="366">
        <f>11.84*(2.3*0.5+0.2*0.64)+4.24*(2.35*0.5+0.2*0.64)</f>
        <v>20.65624</v>
      </c>
    </row>
    <row r="177" spans="1:3" ht="31.5" customHeight="1" x14ac:dyDescent="0.25">
      <c r="A177" s="257" t="s">
        <v>1004</v>
      </c>
      <c r="B177" s="352" t="s">
        <v>1005</v>
      </c>
      <c r="C177" s="366">
        <f>2.05*(2.11*0.5+0.2*0.64)+6.31*(2.5*0.5+0.2*0.64)</f>
        <v>11.120329999999999</v>
      </c>
    </row>
    <row r="178" spans="1:3" x14ac:dyDescent="0.25">
      <c r="A178" s="365" t="s">
        <v>1006</v>
      </c>
      <c r="B178" s="368"/>
      <c r="C178" s="367">
        <f>SUM(C175:C177)</f>
        <v>103.79516999999998</v>
      </c>
    </row>
  </sheetData>
  <mergeCells count="2">
    <mergeCell ref="B6:C6"/>
    <mergeCell ref="B7:C7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4" manualBreakCount="4">
    <brk id="37" max="2" man="1"/>
    <brk id="78" max="2" man="1"/>
    <brk id="118" max="2" man="1"/>
    <brk id="157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38DC6-DBF8-4E5F-BAA1-B6FD483EC2A8}">
  <dimension ref="B2:U244"/>
  <sheetViews>
    <sheetView workbookViewId="0">
      <selection activeCell="D260" sqref="D238:D260"/>
    </sheetView>
  </sheetViews>
  <sheetFormatPr defaultRowHeight="15" x14ac:dyDescent="0.25"/>
  <cols>
    <col min="1" max="1" width="2.85546875" style="1" customWidth="1"/>
    <col min="2" max="2" width="9.140625" style="1" customWidth="1"/>
    <col min="3" max="3" width="44.42578125" style="1" customWidth="1"/>
    <col min="4" max="4" width="10" style="1" customWidth="1"/>
    <col min="5" max="5" width="9.42578125" style="1" customWidth="1"/>
    <col min="6" max="6" width="23.140625" style="1" customWidth="1"/>
    <col min="7" max="7" width="6.7109375" style="1" customWidth="1"/>
    <col min="8" max="8" width="8.7109375" style="1" customWidth="1"/>
    <col min="9" max="9" width="7.5703125" style="1" customWidth="1"/>
    <col min="10" max="10" width="6.85546875" style="1" customWidth="1"/>
    <col min="11" max="11" width="8.5703125" style="1" customWidth="1"/>
    <col min="12" max="12" width="7.7109375" style="1" customWidth="1"/>
    <col min="13" max="13" width="6.85546875" style="1" customWidth="1"/>
    <col min="14" max="15" width="8.42578125" style="1" customWidth="1"/>
    <col min="16" max="16" width="11.42578125" style="1" bestFit="1" customWidth="1"/>
    <col min="17" max="17" width="9.140625" style="1"/>
    <col min="18" max="18" width="11.42578125" style="1" bestFit="1" customWidth="1"/>
    <col min="19" max="19" width="9.140625" style="1"/>
    <col min="20" max="20" width="11.28515625" style="1" customWidth="1"/>
    <col min="21" max="16384" width="9.140625" style="1"/>
  </cols>
  <sheetData>
    <row r="2" spans="2:21" ht="15.75" x14ac:dyDescent="0.25">
      <c r="B2" s="2" t="s">
        <v>31</v>
      </c>
      <c r="C2" s="45"/>
      <c r="D2" s="45"/>
    </row>
    <row r="3" spans="2:21" ht="15.75" x14ac:dyDescent="0.25">
      <c r="B3" s="2" t="s">
        <v>32</v>
      </c>
      <c r="C3" s="45"/>
      <c r="D3" s="45"/>
    </row>
    <row r="4" spans="2:21" ht="15.75" x14ac:dyDescent="0.25">
      <c r="B4" s="2"/>
    </row>
    <row r="5" spans="2:21" ht="15.75" x14ac:dyDescent="0.25">
      <c r="B5" s="4" t="s">
        <v>30</v>
      </c>
    </row>
    <row r="6" spans="2:21" x14ac:dyDescent="0.25">
      <c r="B6" s="5" t="s">
        <v>502</v>
      </c>
    </row>
    <row r="7" spans="2:21" x14ac:dyDescent="0.25">
      <c r="B7" s="6" t="s">
        <v>1</v>
      </c>
    </row>
    <row r="8" spans="2:21" x14ac:dyDescent="0.25">
      <c r="B8" s="6" t="s">
        <v>2</v>
      </c>
    </row>
    <row r="9" spans="2:21" x14ac:dyDescent="0.25">
      <c r="B9" s="7" t="s">
        <v>284</v>
      </c>
    </row>
    <row r="10" spans="2:21" ht="8.25" customHeight="1" x14ac:dyDescent="0.25">
      <c r="B10" s="9"/>
      <c r="C10" s="9"/>
      <c r="D10" s="9"/>
      <c r="E10" s="9"/>
      <c r="F10" s="10"/>
      <c r="G10" s="12"/>
      <c r="H10" s="9"/>
      <c r="I10" s="12"/>
      <c r="J10" s="9"/>
      <c r="K10" s="12"/>
      <c r="L10" s="9"/>
      <c r="M10" s="12"/>
      <c r="N10" s="9"/>
      <c r="O10" s="13"/>
      <c r="P10" s="11"/>
      <c r="Q10" s="12"/>
      <c r="R10" s="9"/>
      <c r="S10" s="12"/>
      <c r="T10" s="9"/>
      <c r="U10" s="12"/>
    </row>
    <row r="11" spans="2:21" ht="15.75" thickBot="1" x14ac:dyDescent="0.3">
      <c r="B11" s="12"/>
      <c r="C11" s="9"/>
      <c r="D11" s="9"/>
      <c r="E11" s="12"/>
      <c r="F11" s="9"/>
      <c r="G11" s="12"/>
    </row>
    <row r="12" spans="2:21" ht="26.25" thickBot="1" x14ac:dyDescent="0.3">
      <c r="B12" s="247" t="s">
        <v>3</v>
      </c>
      <c r="C12" s="248" t="s">
        <v>4</v>
      </c>
      <c r="D12" s="249" t="s">
        <v>5</v>
      </c>
      <c r="E12" s="250" t="s">
        <v>29</v>
      </c>
      <c r="F12" s="251" t="s">
        <v>329</v>
      </c>
      <c r="G12" s="12"/>
    </row>
    <row r="13" spans="2:21" ht="15.75" thickBot="1" x14ac:dyDescent="0.3">
      <c r="B13" s="111"/>
      <c r="C13" s="112"/>
      <c r="D13" s="113"/>
      <c r="E13" s="114"/>
      <c r="F13" s="115"/>
      <c r="G13" s="12"/>
    </row>
    <row r="14" spans="2:21" ht="30" x14ac:dyDescent="0.25">
      <c r="B14" s="116" t="s">
        <v>330</v>
      </c>
      <c r="C14" s="117" t="s">
        <v>331</v>
      </c>
      <c r="D14" s="118" t="s">
        <v>332</v>
      </c>
      <c r="E14" s="119">
        <f>E20</f>
        <v>44.928450000000012</v>
      </c>
      <c r="F14" s="120" t="s">
        <v>333</v>
      </c>
      <c r="G14" s="87"/>
    </row>
    <row r="15" spans="2:21" ht="24" x14ac:dyDescent="0.25">
      <c r="B15" s="121" t="s">
        <v>334</v>
      </c>
      <c r="C15" s="122" t="s">
        <v>335</v>
      </c>
      <c r="D15" s="123"/>
      <c r="E15" s="124">
        <f>SO_03_KL_1b!G58</f>
        <v>72.110562500000015</v>
      </c>
      <c r="F15" s="125" t="s">
        <v>500</v>
      </c>
      <c r="G15" s="87"/>
    </row>
    <row r="16" spans="2:21" x14ac:dyDescent="0.25">
      <c r="B16" s="121" t="s">
        <v>337</v>
      </c>
      <c r="C16" s="122" t="s">
        <v>338</v>
      </c>
      <c r="D16" s="123"/>
      <c r="E16" s="124">
        <f>9*1.5*0.2</f>
        <v>2.7</v>
      </c>
      <c r="F16" s="125" t="s">
        <v>339</v>
      </c>
      <c r="G16" s="87"/>
    </row>
    <row r="17" spans="2:7" x14ac:dyDescent="0.25">
      <c r="B17" s="121" t="s">
        <v>340</v>
      </c>
      <c r="C17" s="122" t="s">
        <v>341</v>
      </c>
      <c r="D17" s="123"/>
      <c r="E17" s="124">
        <f>E15-E16</f>
        <v>69.410562500000012</v>
      </c>
      <c r="F17" s="125" t="s">
        <v>342</v>
      </c>
      <c r="G17" s="87"/>
    </row>
    <row r="18" spans="2:7" ht="61.5" x14ac:dyDescent="0.25">
      <c r="B18" s="121" t="s">
        <v>343</v>
      </c>
      <c r="C18" s="122" t="s">
        <v>344</v>
      </c>
      <c r="D18" s="123"/>
      <c r="E18" s="124">
        <f>10.6*1.25</f>
        <v>13.25</v>
      </c>
      <c r="F18" s="125" t="s">
        <v>345</v>
      </c>
      <c r="G18" s="87"/>
    </row>
    <row r="19" spans="2:7" ht="25.5" x14ac:dyDescent="0.25">
      <c r="B19" s="121" t="s">
        <v>346</v>
      </c>
      <c r="C19" s="122" t="s">
        <v>347</v>
      </c>
      <c r="D19" s="123"/>
      <c r="E19" s="124">
        <f>(E17-E18)</f>
        <v>56.160562500000012</v>
      </c>
      <c r="F19" s="125" t="s">
        <v>348</v>
      </c>
      <c r="G19" s="87"/>
    </row>
    <row r="20" spans="2:7" x14ac:dyDescent="0.25">
      <c r="B20" s="121" t="s">
        <v>349</v>
      </c>
      <c r="C20" s="122" t="s">
        <v>350</v>
      </c>
      <c r="D20" s="123"/>
      <c r="E20" s="126">
        <f>E19*0.8</f>
        <v>44.928450000000012</v>
      </c>
      <c r="F20" s="125" t="s">
        <v>351</v>
      </c>
      <c r="G20" s="87"/>
    </row>
    <row r="21" spans="2:7" x14ac:dyDescent="0.25">
      <c r="B21" s="127"/>
      <c r="C21" s="122"/>
      <c r="D21" s="123"/>
      <c r="E21" s="124"/>
      <c r="F21" s="125"/>
      <c r="G21" s="87"/>
    </row>
    <row r="22" spans="2:7" ht="15.75" thickBot="1" x14ac:dyDescent="0.3">
      <c r="B22" s="128"/>
      <c r="C22" s="129"/>
      <c r="D22" s="130"/>
      <c r="E22" s="131"/>
      <c r="F22" s="132"/>
      <c r="G22" s="87"/>
    </row>
    <row r="23" spans="2:7" ht="30" x14ac:dyDescent="0.25">
      <c r="B23" s="116" t="s">
        <v>352</v>
      </c>
      <c r="C23" s="133" t="s">
        <v>353</v>
      </c>
      <c r="D23" s="134" t="s">
        <v>332</v>
      </c>
      <c r="E23" s="135">
        <f>E29</f>
        <v>11.232112500000003</v>
      </c>
      <c r="F23" s="136" t="s">
        <v>354</v>
      </c>
    </row>
    <row r="24" spans="2:7" ht="24" x14ac:dyDescent="0.25">
      <c r="B24" s="121" t="s">
        <v>355</v>
      </c>
      <c r="C24" s="122" t="s">
        <v>335</v>
      </c>
      <c r="D24" s="123"/>
      <c r="E24" s="124">
        <f>SO_03_KL_1b!G58</f>
        <v>72.110562500000015</v>
      </c>
      <c r="F24" s="125" t="s">
        <v>336</v>
      </c>
    </row>
    <row r="25" spans="2:7" x14ac:dyDescent="0.25">
      <c r="B25" s="121" t="s">
        <v>356</v>
      </c>
      <c r="C25" s="122" t="s">
        <v>338</v>
      </c>
      <c r="D25" s="123"/>
      <c r="E25" s="124">
        <f>9*1.5*0.2</f>
        <v>2.7</v>
      </c>
      <c r="F25" s="125" t="s">
        <v>339</v>
      </c>
    </row>
    <row r="26" spans="2:7" x14ac:dyDescent="0.25">
      <c r="B26" s="121" t="s">
        <v>357</v>
      </c>
      <c r="C26" s="122" t="s">
        <v>341</v>
      </c>
      <c r="D26" s="123"/>
      <c r="E26" s="124">
        <f>E24-E25</f>
        <v>69.410562500000012</v>
      </c>
      <c r="F26" s="125" t="s">
        <v>342</v>
      </c>
    </row>
    <row r="27" spans="2:7" ht="61.5" x14ac:dyDescent="0.25">
      <c r="B27" s="121" t="s">
        <v>358</v>
      </c>
      <c r="C27" s="122" t="s">
        <v>359</v>
      </c>
      <c r="D27" s="123"/>
      <c r="E27" s="124">
        <f>10.6*1.25</f>
        <v>13.25</v>
      </c>
      <c r="F27" s="125" t="s">
        <v>345</v>
      </c>
    </row>
    <row r="28" spans="2:7" ht="25.5" x14ac:dyDescent="0.25">
      <c r="B28" s="121" t="s">
        <v>360</v>
      </c>
      <c r="C28" s="122" t="s">
        <v>347</v>
      </c>
      <c r="D28" s="123"/>
      <c r="E28" s="124">
        <f>(E26-E27)</f>
        <v>56.160562500000012</v>
      </c>
      <c r="F28" s="125" t="s">
        <v>361</v>
      </c>
    </row>
    <row r="29" spans="2:7" x14ac:dyDescent="0.25">
      <c r="B29" s="121" t="s">
        <v>362</v>
      </c>
      <c r="C29" s="122" t="s">
        <v>363</v>
      </c>
      <c r="D29" s="123"/>
      <c r="E29" s="126">
        <f>E28*0.2</f>
        <v>11.232112500000003</v>
      </c>
      <c r="F29" s="125" t="s">
        <v>364</v>
      </c>
    </row>
    <row r="30" spans="2:7" x14ac:dyDescent="0.25">
      <c r="B30" s="127"/>
      <c r="C30" s="122"/>
      <c r="D30" s="137"/>
      <c r="E30" s="124"/>
      <c r="F30" s="125"/>
    </row>
    <row r="31" spans="2:7" ht="36" x14ac:dyDescent="0.25">
      <c r="B31" s="72" t="s">
        <v>365</v>
      </c>
      <c r="C31" s="63" t="s">
        <v>366</v>
      </c>
      <c r="D31" s="138" t="s">
        <v>332</v>
      </c>
      <c r="E31" s="139">
        <f>0.8*E14</f>
        <v>35.942760000000014</v>
      </c>
      <c r="F31" s="140" t="s">
        <v>367</v>
      </c>
    </row>
    <row r="32" spans="2:7" x14ac:dyDescent="0.25">
      <c r="B32" s="141"/>
      <c r="C32" s="142"/>
      <c r="D32" s="143"/>
      <c r="E32" s="144"/>
      <c r="F32" s="145"/>
    </row>
    <row r="33" spans="2:6" ht="15.75" thickBot="1" x14ac:dyDescent="0.3">
      <c r="B33" s="146"/>
      <c r="C33" s="137"/>
      <c r="D33" s="123"/>
      <c r="E33" s="124"/>
      <c r="F33" s="147"/>
    </row>
    <row r="34" spans="2:6" ht="36" x14ac:dyDescent="0.25">
      <c r="B34" s="148" t="s">
        <v>368</v>
      </c>
      <c r="C34" s="149" t="s">
        <v>369</v>
      </c>
      <c r="D34" s="134" t="s">
        <v>332</v>
      </c>
      <c r="E34" s="135">
        <f>0.2*E14</f>
        <v>8.9856900000000035</v>
      </c>
      <c r="F34" s="140" t="s">
        <v>370</v>
      </c>
    </row>
    <row r="35" spans="2:6" x14ac:dyDescent="0.25">
      <c r="B35" s="150"/>
      <c r="C35" s="142"/>
      <c r="D35" s="143"/>
      <c r="E35" s="143"/>
      <c r="F35" s="151"/>
    </row>
    <row r="36" spans="2:6" ht="15.75" thickBot="1" x14ac:dyDescent="0.3">
      <c r="B36" s="146"/>
      <c r="C36" s="137"/>
      <c r="D36" s="123"/>
      <c r="E36" s="123"/>
      <c r="F36" s="147"/>
    </row>
    <row r="37" spans="2:6" ht="36" x14ac:dyDescent="0.25">
      <c r="B37" s="116" t="s">
        <v>371</v>
      </c>
      <c r="C37" s="149" t="s">
        <v>372</v>
      </c>
      <c r="D37" s="134" t="s">
        <v>332</v>
      </c>
      <c r="E37" s="135">
        <f>0.3*E23</f>
        <v>3.3696337500000006</v>
      </c>
      <c r="F37" s="140" t="s">
        <v>373</v>
      </c>
    </row>
    <row r="38" spans="2:6" x14ac:dyDescent="0.25">
      <c r="B38" s="141"/>
      <c r="C38" s="142"/>
      <c r="D38" s="143"/>
      <c r="E38" s="143"/>
      <c r="F38" s="145"/>
    </row>
    <row r="39" spans="2:6" ht="15.75" thickBot="1" x14ac:dyDescent="0.3">
      <c r="B39" s="121"/>
      <c r="C39" s="137"/>
      <c r="D39" s="123"/>
      <c r="E39" s="123"/>
      <c r="F39" s="152"/>
    </row>
    <row r="40" spans="2:6" ht="36" x14ac:dyDescent="0.25">
      <c r="B40" s="116" t="s">
        <v>374</v>
      </c>
      <c r="C40" s="149" t="s">
        <v>375</v>
      </c>
      <c r="D40" s="134" t="s">
        <v>332</v>
      </c>
      <c r="E40" s="135">
        <f>0.7*E23</f>
        <v>7.862478750000002</v>
      </c>
      <c r="F40" s="140" t="s">
        <v>376</v>
      </c>
    </row>
    <row r="41" spans="2:6" ht="15.75" thickBot="1" x14ac:dyDescent="0.3">
      <c r="B41" s="150"/>
      <c r="C41" s="142"/>
      <c r="D41" s="153"/>
      <c r="E41" s="154"/>
      <c r="F41" s="145"/>
    </row>
    <row r="42" spans="2:6" x14ac:dyDescent="0.25">
      <c r="B42" s="116" t="s">
        <v>377</v>
      </c>
      <c r="C42" s="149" t="s">
        <v>378</v>
      </c>
      <c r="D42" s="134" t="s">
        <v>379</v>
      </c>
      <c r="E42" s="135">
        <f>E43</f>
        <v>40.4</v>
      </c>
      <c r="F42" s="136"/>
    </row>
    <row r="43" spans="2:6" x14ac:dyDescent="0.25">
      <c r="B43" s="150"/>
      <c r="C43" s="142" t="s">
        <v>380</v>
      </c>
      <c r="D43" s="143"/>
      <c r="E43" s="144">
        <f>20.2*2</f>
        <v>40.4</v>
      </c>
      <c r="F43" s="145" t="s">
        <v>381</v>
      </c>
    </row>
    <row r="44" spans="2:6" x14ac:dyDescent="0.25">
      <c r="B44" s="146"/>
      <c r="C44" s="137"/>
      <c r="D44" s="123"/>
      <c r="E44" s="123"/>
      <c r="F44" s="147"/>
    </row>
    <row r="45" spans="2:6" ht="15.75" thickBot="1" x14ac:dyDescent="0.3">
      <c r="B45" s="128"/>
      <c r="C45" s="129"/>
      <c r="D45" s="131"/>
      <c r="E45" s="131"/>
      <c r="F45" s="132"/>
    </row>
    <row r="46" spans="2:6" x14ac:dyDescent="0.25">
      <c r="B46" s="155" t="s">
        <v>382</v>
      </c>
      <c r="C46" s="156" t="s">
        <v>383</v>
      </c>
      <c r="D46" s="138" t="s">
        <v>379</v>
      </c>
      <c r="E46" s="157">
        <f>E47</f>
        <v>31.8</v>
      </c>
      <c r="F46" s="140"/>
    </row>
    <row r="47" spans="2:6" x14ac:dyDescent="0.25">
      <c r="B47" s="150"/>
      <c r="C47" s="142" t="s">
        <v>380</v>
      </c>
      <c r="D47" s="143"/>
      <c r="E47" s="144">
        <f>15.9*2</f>
        <v>31.8</v>
      </c>
      <c r="F47" s="145" t="s">
        <v>384</v>
      </c>
    </row>
    <row r="48" spans="2:6" x14ac:dyDescent="0.25">
      <c r="B48" s="146"/>
      <c r="C48" s="137"/>
      <c r="D48" s="123"/>
      <c r="E48" s="123"/>
      <c r="F48" s="147"/>
    </row>
    <row r="49" spans="2:6" ht="15.75" thickBot="1" x14ac:dyDescent="0.3">
      <c r="B49" s="146"/>
      <c r="C49" s="137"/>
      <c r="D49" s="123"/>
      <c r="E49" s="123"/>
      <c r="F49" s="147"/>
    </row>
    <row r="50" spans="2:6" x14ac:dyDescent="0.25">
      <c r="B50" s="116" t="s">
        <v>385</v>
      </c>
      <c r="C50" s="158" t="s">
        <v>386</v>
      </c>
      <c r="D50" s="134" t="s">
        <v>332</v>
      </c>
      <c r="E50" s="135">
        <f>SUM(E51:E53)</f>
        <v>12.939615999999999</v>
      </c>
      <c r="F50" s="159"/>
    </row>
    <row r="51" spans="2:6" ht="24" x14ac:dyDescent="0.25">
      <c r="B51" s="150"/>
      <c r="C51" s="142" t="s">
        <v>387</v>
      </c>
      <c r="D51" s="143"/>
      <c r="E51" s="124">
        <f>16.8*1.25*0.62-3.14*0.16*0.16</f>
        <v>12.939615999999999</v>
      </c>
      <c r="F51" s="140" t="s">
        <v>388</v>
      </c>
    </row>
    <row r="52" spans="2:6" x14ac:dyDescent="0.25">
      <c r="B52" s="146"/>
      <c r="C52" s="137" t="s">
        <v>389</v>
      </c>
      <c r="D52" s="123"/>
      <c r="E52" s="124"/>
      <c r="F52" s="152"/>
    </row>
    <row r="53" spans="2:6" x14ac:dyDescent="0.25">
      <c r="B53" s="146"/>
      <c r="C53" s="137"/>
      <c r="D53" s="123"/>
      <c r="E53" s="124"/>
      <c r="F53" s="152"/>
    </row>
    <row r="54" spans="2:6" x14ac:dyDescent="0.25">
      <c r="B54" s="146"/>
      <c r="C54" s="160"/>
      <c r="D54" s="123"/>
      <c r="E54" s="123"/>
      <c r="F54" s="147"/>
    </row>
    <row r="55" spans="2:6" ht="15.75" thickBot="1" x14ac:dyDescent="0.3">
      <c r="B55" s="128"/>
      <c r="C55" s="129"/>
      <c r="D55" s="131"/>
      <c r="E55" s="131"/>
      <c r="F55" s="132"/>
    </row>
    <row r="56" spans="2:6" ht="25.5" x14ac:dyDescent="0.25">
      <c r="B56" s="116" t="s">
        <v>390</v>
      </c>
      <c r="C56" s="158" t="s">
        <v>391</v>
      </c>
      <c r="D56" s="138" t="s">
        <v>332</v>
      </c>
      <c r="E56" s="135">
        <f>E57</f>
        <v>2.1</v>
      </c>
      <c r="F56" s="159"/>
    </row>
    <row r="57" spans="2:6" x14ac:dyDescent="0.25">
      <c r="B57" s="161"/>
      <c r="C57" s="162" t="s">
        <v>392</v>
      </c>
      <c r="D57" s="163"/>
      <c r="E57" s="164">
        <f>16.8*1.25*0.1</f>
        <v>2.1</v>
      </c>
      <c r="F57" s="140" t="s">
        <v>393</v>
      </c>
    </row>
    <row r="58" spans="2:6" x14ac:dyDescent="0.25">
      <c r="B58" s="146"/>
      <c r="C58" s="137" t="s">
        <v>389</v>
      </c>
      <c r="D58" s="123"/>
      <c r="E58" s="123"/>
      <c r="F58" s="147"/>
    </row>
    <row r="59" spans="2:6" x14ac:dyDescent="0.25">
      <c r="B59" s="146"/>
      <c r="C59" s="137"/>
      <c r="D59" s="123"/>
      <c r="E59" s="123"/>
      <c r="F59" s="147"/>
    </row>
    <row r="60" spans="2:6" ht="15.75" thickBot="1" x14ac:dyDescent="0.3">
      <c r="B60" s="146"/>
      <c r="C60" s="137"/>
      <c r="D60" s="123"/>
      <c r="E60" s="123"/>
      <c r="F60" s="147"/>
    </row>
    <row r="61" spans="2:6" ht="25.5" x14ac:dyDescent="0.25">
      <c r="B61" s="116" t="s">
        <v>394</v>
      </c>
      <c r="C61" s="158" t="s">
        <v>395</v>
      </c>
      <c r="D61" s="134" t="s">
        <v>332</v>
      </c>
      <c r="E61" s="135">
        <f>E62</f>
        <v>6.3</v>
      </c>
      <c r="F61" s="159"/>
    </row>
    <row r="62" spans="2:6" x14ac:dyDescent="0.25">
      <c r="B62" s="161"/>
      <c r="C62" s="162" t="s">
        <v>392</v>
      </c>
      <c r="D62" s="163"/>
      <c r="E62" s="164">
        <f>16.8*1.25*0.3</f>
        <v>6.3</v>
      </c>
      <c r="F62" s="140" t="s">
        <v>396</v>
      </c>
    </row>
    <row r="63" spans="2:6" x14ac:dyDescent="0.25">
      <c r="B63" s="146"/>
      <c r="C63" s="137" t="s">
        <v>389</v>
      </c>
      <c r="D63" s="123"/>
      <c r="E63" s="123"/>
      <c r="F63" s="147"/>
    </row>
    <row r="64" spans="2:6" ht="15.75" thickBot="1" x14ac:dyDescent="0.3">
      <c r="B64" s="146"/>
      <c r="C64" s="137"/>
      <c r="D64" s="123"/>
      <c r="E64" s="124"/>
      <c r="F64" s="152"/>
    </row>
    <row r="65" spans="2:6" x14ac:dyDescent="0.25">
      <c r="B65" s="116" t="s">
        <v>397</v>
      </c>
      <c r="C65" s="158" t="s">
        <v>398</v>
      </c>
      <c r="D65" s="134" t="s">
        <v>11</v>
      </c>
      <c r="E65" s="135">
        <f>E66</f>
        <v>19.8</v>
      </c>
      <c r="F65" s="159"/>
    </row>
    <row r="66" spans="2:6" x14ac:dyDescent="0.25">
      <c r="B66" s="161"/>
      <c r="C66" s="137" t="s">
        <v>399</v>
      </c>
      <c r="D66" s="163"/>
      <c r="E66" s="164">
        <v>19.8</v>
      </c>
      <c r="F66" s="140"/>
    </row>
    <row r="67" spans="2:6" x14ac:dyDescent="0.25">
      <c r="B67" s="146"/>
      <c r="C67" s="137"/>
      <c r="D67" s="123"/>
      <c r="E67" s="123"/>
      <c r="F67" s="147"/>
    </row>
    <row r="68" spans="2:6" x14ac:dyDescent="0.25">
      <c r="B68" s="146"/>
      <c r="C68" s="137"/>
      <c r="D68" s="123"/>
      <c r="E68" s="123"/>
      <c r="F68" s="147"/>
    </row>
    <row r="69" spans="2:6" ht="15.75" thickBot="1" x14ac:dyDescent="0.3">
      <c r="B69" s="128"/>
      <c r="C69" s="129"/>
      <c r="D69" s="131"/>
      <c r="E69" s="131"/>
      <c r="F69" s="132"/>
    </row>
    <row r="70" spans="2:6" x14ac:dyDescent="0.25">
      <c r="B70" s="72" t="s">
        <v>400</v>
      </c>
      <c r="C70" s="165" t="s">
        <v>401</v>
      </c>
      <c r="D70" s="138" t="s">
        <v>332</v>
      </c>
      <c r="E70" s="139">
        <f>E71-E72-E73-E74-E75-E76</f>
        <v>26.468395780000012</v>
      </c>
      <c r="F70" s="145" t="s">
        <v>402</v>
      </c>
    </row>
    <row r="71" spans="2:6" x14ac:dyDescent="0.25">
      <c r="B71" s="150"/>
      <c r="C71" s="142" t="s">
        <v>403</v>
      </c>
      <c r="D71" s="143"/>
      <c r="E71" s="154">
        <f>E14+E23</f>
        <v>56.160562500000012</v>
      </c>
      <c r="F71" s="151"/>
    </row>
    <row r="72" spans="2:6" x14ac:dyDescent="0.25">
      <c r="B72" s="146"/>
      <c r="C72" s="137" t="s">
        <v>404</v>
      </c>
      <c r="D72" s="123"/>
      <c r="E72" s="124">
        <f>E50</f>
        <v>12.939615999999999</v>
      </c>
      <c r="F72" s="147"/>
    </row>
    <row r="73" spans="2:6" x14ac:dyDescent="0.25">
      <c r="B73" s="121"/>
      <c r="C73" s="137" t="s">
        <v>405</v>
      </c>
      <c r="D73" s="123"/>
      <c r="E73" s="124">
        <f>E56</f>
        <v>2.1</v>
      </c>
      <c r="F73" s="125"/>
    </row>
    <row r="74" spans="2:6" x14ac:dyDescent="0.25">
      <c r="B74" s="146"/>
      <c r="C74" s="137" t="s">
        <v>406</v>
      </c>
      <c r="D74" s="123"/>
      <c r="E74" s="124">
        <f>E61</f>
        <v>6.3</v>
      </c>
      <c r="F74" s="147"/>
    </row>
    <row r="75" spans="2:6" ht="24" x14ac:dyDescent="0.25">
      <c r="B75" s="146"/>
      <c r="C75" s="137" t="s">
        <v>407</v>
      </c>
      <c r="D75" s="123"/>
      <c r="E75" s="124">
        <f>3.14*0.62*0.62*3.71</f>
        <v>4.4780293599999998</v>
      </c>
      <c r="F75" s="125" t="s">
        <v>408</v>
      </c>
    </row>
    <row r="76" spans="2:6" ht="24" x14ac:dyDescent="0.25">
      <c r="B76" s="146"/>
      <c r="C76" s="137" t="s">
        <v>409</v>
      </c>
      <c r="D76" s="123"/>
      <c r="E76" s="124">
        <f>3.14*0.62*0.62*3.21</f>
        <v>3.8745213600000001</v>
      </c>
      <c r="F76" s="125" t="s">
        <v>410</v>
      </c>
    </row>
    <row r="77" spans="2:6" ht="15.75" thickBot="1" x14ac:dyDescent="0.3">
      <c r="B77" s="128"/>
      <c r="C77" s="129"/>
      <c r="D77" s="131"/>
      <c r="E77" s="131"/>
      <c r="F77" s="132"/>
    </row>
    <row r="78" spans="2:6" ht="38.25" x14ac:dyDescent="0.25">
      <c r="B78" s="72" t="s">
        <v>411</v>
      </c>
      <c r="C78" s="165" t="s">
        <v>412</v>
      </c>
      <c r="D78" s="138" t="s">
        <v>332</v>
      </c>
      <c r="E78" s="139">
        <f>E79</f>
        <v>29.692166719999999</v>
      </c>
      <c r="F78" s="166"/>
    </row>
    <row r="79" spans="2:6" ht="24" x14ac:dyDescent="0.25">
      <c r="B79" s="121"/>
      <c r="C79" s="142" t="s">
        <v>413</v>
      </c>
      <c r="D79" s="143"/>
      <c r="E79" s="154">
        <f>E14+E23-E70</f>
        <v>29.692166719999999</v>
      </c>
      <c r="F79" s="140" t="s">
        <v>414</v>
      </c>
    </row>
    <row r="80" spans="2:6" ht="15.75" thickBot="1" x14ac:dyDescent="0.3">
      <c r="B80" s="128"/>
      <c r="C80" s="129"/>
      <c r="D80" s="131"/>
      <c r="E80" s="131"/>
      <c r="F80" s="132"/>
    </row>
    <row r="81" spans="2:6" ht="38.25" x14ac:dyDescent="0.25">
      <c r="B81" s="72" t="s">
        <v>415</v>
      </c>
      <c r="C81" s="165" t="s">
        <v>416</v>
      </c>
      <c r="D81" s="138" t="s">
        <v>332</v>
      </c>
      <c r="E81" s="139">
        <f>E14+E23-E70</f>
        <v>29.692166719999999</v>
      </c>
      <c r="F81" s="140" t="s">
        <v>414</v>
      </c>
    </row>
    <row r="82" spans="2:6" ht="15.75" thickBot="1" x14ac:dyDescent="0.3">
      <c r="B82" s="141"/>
      <c r="C82" s="142"/>
      <c r="D82" s="143"/>
      <c r="E82" s="154"/>
      <c r="F82" s="140"/>
    </row>
    <row r="83" spans="2:6" ht="25.5" x14ac:dyDescent="0.25">
      <c r="B83" s="116" t="s">
        <v>417</v>
      </c>
      <c r="C83" s="158" t="s">
        <v>418</v>
      </c>
      <c r="D83" s="134" t="s">
        <v>332</v>
      </c>
      <c r="E83" s="135">
        <f>E16</f>
        <v>2.7</v>
      </c>
      <c r="F83" s="167"/>
    </row>
    <row r="84" spans="2:6" x14ac:dyDescent="0.25">
      <c r="B84" s="150"/>
      <c r="C84" s="142" t="s">
        <v>419</v>
      </c>
      <c r="D84" s="143"/>
      <c r="E84" s="143"/>
      <c r="F84" s="151"/>
    </row>
    <row r="85" spans="2:6" x14ac:dyDescent="0.25">
      <c r="B85" s="146"/>
      <c r="C85" s="160"/>
      <c r="D85" s="123"/>
      <c r="E85" s="123"/>
      <c r="F85" s="147"/>
    </row>
    <row r="86" spans="2:6" ht="15.75" thickBot="1" x14ac:dyDescent="0.3">
      <c r="B86" s="128"/>
      <c r="C86" s="129"/>
      <c r="D86" s="131"/>
      <c r="E86" s="131"/>
      <c r="F86" s="132"/>
    </row>
    <row r="87" spans="2:6" ht="25.5" x14ac:dyDescent="0.25">
      <c r="B87" s="168" t="s">
        <v>420</v>
      </c>
      <c r="C87" s="165" t="s">
        <v>421</v>
      </c>
      <c r="D87" s="138" t="s">
        <v>332</v>
      </c>
      <c r="E87" s="139">
        <f>E83</f>
        <v>2.7</v>
      </c>
      <c r="F87" s="166"/>
    </row>
    <row r="88" spans="2:6" x14ac:dyDescent="0.25">
      <c r="B88" s="150"/>
      <c r="C88" s="142" t="s">
        <v>422</v>
      </c>
      <c r="D88" s="143"/>
      <c r="E88" s="143"/>
      <c r="F88" s="151"/>
    </row>
    <row r="89" spans="2:6" x14ac:dyDescent="0.25">
      <c r="B89" s="146"/>
      <c r="C89" s="160"/>
      <c r="D89" s="123"/>
      <c r="E89" s="123"/>
      <c r="F89" s="147"/>
    </row>
    <row r="90" spans="2:6" ht="15.75" thickBot="1" x14ac:dyDescent="0.3">
      <c r="B90" s="128"/>
      <c r="C90" s="129"/>
      <c r="D90" s="131"/>
      <c r="E90" s="131"/>
      <c r="F90" s="132"/>
    </row>
    <row r="91" spans="2:6" ht="25.5" x14ac:dyDescent="0.25">
      <c r="B91" s="116" t="s">
        <v>423</v>
      </c>
      <c r="C91" s="158" t="s">
        <v>424</v>
      </c>
      <c r="D91" s="138" t="s">
        <v>332</v>
      </c>
      <c r="E91" s="135">
        <f>E92+E93</f>
        <v>0.45</v>
      </c>
      <c r="F91" s="159"/>
    </row>
    <row r="92" spans="2:6" ht="24" x14ac:dyDescent="0.25">
      <c r="B92" s="146"/>
      <c r="C92" s="137" t="s">
        <v>425</v>
      </c>
      <c r="D92" s="123"/>
      <c r="E92" s="169">
        <f>1.5*1.5*0.1</f>
        <v>0.22500000000000001</v>
      </c>
      <c r="F92" s="152" t="s">
        <v>426</v>
      </c>
    </row>
    <row r="93" spans="2:6" ht="24" x14ac:dyDescent="0.25">
      <c r="B93" s="146"/>
      <c r="C93" s="137" t="s">
        <v>427</v>
      </c>
      <c r="D93" s="123"/>
      <c r="E93" s="169">
        <f>1.5*1.5*0.1</f>
        <v>0.22500000000000001</v>
      </c>
      <c r="F93" s="152" t="s">
        <v>426</v>
      </c>
    </row>
    <row r="94" spans="2:6" ht="15.75" thickBot="1" x14ac:dyDescent="0.3">
      <c r="B94" s="128"/>
      <c r="C94" s="129"/>
      <c r="D94" s="131"/>
      <c r="E94" s="131"/>
      <c r="F94" s="132"/>
    </row>
    <row r="95" spans="2:6" ht="25.5" x14ac:dyDescent="0.25">
      <c r="B95" s="168" t="s">
        <v>428</v>
      </c>
      <c r="C95" s="165" t="s">
        <v>429</v>
      </c>
      <c r="D95" s="138" t="s">
        <v>332</v>
      </c>
      <c r="E95" s="139">
        <f>E96</f>
        <v>1.1677128000000001</v>
      </c>
      <c r="F95" s="166"/>
    </row>
    <row r="96" spans="2:6" ht="36" x14ac:dyDescent="0.25">
      <c r="B96" s="150"/>
      <c r="C96" s="137" t="s">
        <v>430</v>
      </c>
      <c r="D96" s="143"/>
      <c r="E96" s="154">
        <f>0.65*2.05-3.14*0.16*0.16*2.05</f>
        <v>1.1677128000000001</v>
      </c>
      <c r="F96" s="140" t="s">
        <v>431</v>
      </c>
    </row>
    <row r="97" spans="2:6" x14ac:dyDescent="0.25">
      <c r="B97" s="146"/>
      <c r="C97" s="137"/>
      <c r="D97" s="123"/>
      <c r="E97" s="123"/>
      <c r="F97" s="147"/>
    </row>
    <row r="98" spans="2:6" ht="15.75" thickBot="1" x14ac:dyDescent="0.3">
      <c r="B98" s="128"/>
      <c r="C98" s="129"/>
      <c r="D98" s="131"/>
      <c r="E98" s="131"/>
      <c r="F98" s="132"/>
    </row>
    <row r="99" spans="2:6" x14ac:dyDescent="0.25">
      <c r="B99" s="72" t="s">
        <v>432</v>
      </c>
      <c r="C99" s="165" t="s">
        <v>433</v>
      </c>
      <c r="D99" s="138" t="s">
        <v>11</v>
      </c>
      <c r="E99" s="139">
        <f>E100</f>
        <v>21</v>
      </c>
      <c r="F99" s="166"/>
    </row>
    <row r="100" spans="2:6" ht="24" x14ac:dyDescent="0.25">
      <c r="B100" s="150"/>
      <c r="C100" s="142" t="s">
        <v>434</v>
      </c>
      <c r="D100" s="143"/>
      <c r="E100" s="154">
        <v>21</v>
      </c>
      <c r="F100" s="140"/>
    </row>
    <row r="101" spans="2:6" ht="15.75" thickBot="1" x14ac:dyDescent="0.3">
      <c r="B101" s="128"/>
      <c r="C101" s="129"/>
      <c r="D101" s="131"/>
      <c r="E101" s="131"/>
      <c r="F101" s="132"/>
    </row>
    <row r="102" spans="2:6" x14ac:dyDescent="0.25">
      <c r="B102" s="168" t="s">
        <v>435</v>
      </c>
      <c r="C102" s="165" t="s">
        <v>436</v>
      </c>
      <c r="D102" s="138" t="s">
        <v>11</v>
      </c>
      <c r="E102" s="139">
        <f>E99</f>
        <v>21</v>
      </c>
      <c r="F102" s="166"/>
    </row>
    <row r="103" spans="2:6" x14ac:dyDescent="0.25">
      <c r="B103" s="150"/>
      <c r="C103" s="142" t="s">
        <v>437</v>
      </c>
      <c r="D103" s="143"/>
      <c r="E103" s="143"/>
      <c r="F103" s="145"/>
    </row>
    <row r="104" spans="2:6" x14ac:dyDescent="0.25">
      <c r="B104" s="146"/>
      <c r="C104" s="160"/>
      <c r="D104" s="123"/>
      <c r="E104" s="123"/>
      <c r="F104" s="147"/>
    </row>
    <row r="105" spans="2:6" ht="15.75" thickBot="1" x14ac:dyDescent="0.3">
      <c r="B105" s="128"/>
      <c r="C105" s="129"/>
      <c r="D105" s="131"/>
      <c r="E105" s="131"/>
      <c r="F105" s="132"/>
    </row>
    <row r="106" spans="2:6" ht="30" x14ac:dyDescent="0.25">
      <c r="B106" s="72" t="s">
        <v>438</v>
      </c>
      <c r="C106" s="170" t="s">
        <v>439</v>
      </c>
      <c r="D106" s="138" t="s">
        <v>93</v>
      </c>
      <c r="E106" s="139">
        <v>1</v>
      </c>
      <c r="F106" s="151"/>
    </row>
    <row r="107" spans="2:6" x14ac:dyDescent="0.25">
      <c r="B107" s="150"/>
      <c r="C107" s="142" t="s">
        <v>440</v>
      </c>
      <c r="D107" s="143"/>
      <c r="E107" s="143"/>
      <c r="F107" s="145"/>
    </row>
    <row r="108" spans="2:6" x14ac:dyDescent="0.25">
      <c r="B108" s="146"/>
      <c r="C108" s="137"/>
      <c r="D108" s="123"/>
      <c r="E108" s="123"/>
      <c r="F108" s="147"/>
    </row>
    <row r="109" spans="2:6" ht="15.75" thickBot="1" x14ac:dyDescent="0.3">
      <c r="B109" s="128"/>
      <c r="C109" s="129"/>
      <c r="D109" s="131"/>
      <c r="E109" s="131"/>
      <c r="F109" s="132"/>
    </row>
    <row r="110" spans="2:6" ht="30" x14ac:dyDescent="0.25">
      <c r="B110" s="168" t="s">
        <v>441</v>
      </c>
      <c r="C110" s="170" t="s">
        <v>442</v>
      </c>
      <c r="D110" s="138" t="s">
        <v>93</v>
      </c>
      <c r="E110" s="139">
        <v>1</v>
      </c>
      <c r="F110" s="166"/>
    </row>
    <row r="111" spans="2:6" x14ac:dyDescent="0.25">
      <c r="B111" s="150"/>
      <c r="C111" s="142" t="s">
        <v>440</v>
      </c>
      <c r="D111" s="143"/>
      <c r="E111" s="143"/>
      <c r="F111" s="145"/>
    </row>
    <row r="112" spans="2:6" x14ac:dyDescent="0.25">
      <c r="B112" s="146"/>
      <c r="C112" s="137"/>
      <c r="D112" s="123"/>
      <c r="E112" s="123"/>
      <c r="F112" s="147"/>
    </row>
    <row r="113" spans="2:6" ht="15.75" thickBot="1" x14ac:dyDescent="0.3">
      <c r="B113" s="128"/>
      <c r="C113" s="129"/>
      <c r="D113" s="131"/>
      <c r="E113" s="131"/>
      <c r="F113" s="132"/>
    </row>
    <row r="114" spans="2:6" ht="30" x14ac:dyDescent="0.25">
      <c r="B114" s="72" t="s">
        <v>443</v>
      </c>
      <c r="C114" s="170" t="s">
        <v>444</v>
      </c>
      <c r="D114" s="138" t="s">
        <v>93</v>
      </c>
      <c r="E114" s="139">
        <v>2</v>
      </c>
      <c r="F114" s="166"/>
    </row>
    <row r="115" spans="2:6" ht="24" x14ac:dyDescent="0.25">
      <c r="B115" s="150"/>
      <c r="C115" s="142" t="s">
        <v>445</v>
      </c>
      <c r="D115" s="143"/>
      <c r="E115" s="143"/>
      <c r="F115" s="145"/>
    </row>
    <row r="116" spans="2:6" x14ac:dyDescent="0.25">
      <c r="B116" s="146"/>
      <c r="C116" s="137"/>
      <c r="D116" s="123"/>
      <c r="E116" s="123"/>
      <c r="F116" s="152"/>
    </row>
    <row r="117" spans="2:6" ht="15.75" thickBot="1" x14ac:dyDescent="0.3">
      <c r="B117" s="128"/>
      <c r="C117" s="129"/>
      <c r="D117" s="131"/>
      <c r="E117" s="130"/>
      <c r="F117" s="132"/>
    </row>
    <row r="118" spans="2:6" ht="25.5" x14ac:dyDescent="0.25">
      <c r="B118" s="72" t="s">
        <v>446</v>
      </c>
      <c r="C118" s="171" t="s">
        <v>447</v>
      </c>
      <c r="D118" s="138" t="s">
        <v>332</v>
      </c>
      <c r="E118" s="139">
        <f>E124</f>
        <v>1.3743681433333335</v>
      </c>
      <c r="F118" s="151"/>
    </row>
    <row r="119" spans="2:6" x14ac:dyDescent="0.25">
      <c r="B119" s="150"/>
      <c r="C119" s="142" t="s">
        <v>448</v>
      </c>
      <c r="D119" s="143"/>
      <c r="E119" s="172"/>
      <c r="F119" s="145"/>
    </row>
    <row r="120" spans="2:6" ht="24" x14ac:dyDescent="0.25">
      <c r="B120" s="127" t="s">
        <v>191</v>
      </c>
      <c r="C120" s="137" t="s">
        <v>449</v>
      </c>
      <c r="D120" s="172" t="s">
        <v>450</v>
      </c>
      <c r="E120" s="169">
        <f>1.5*1.5*0.97</f>
        <v>2.1825000000000001</v>
      </c>
      <c r="F120" s="152" t="s">
        <v>451</v>
      </c>
    </row>
    <row r="121" spans="2:6" x14ac:dyDescent="0.25">
      <c r="B121" s="127" t="s">
        <v>191</v>
      </c>
      <c r="C121" s="137" t="s">
        <v>452</v>
      </c>
      <c r="D121" s="172" t="s">
        <v>450</v>
      </c>
      <c r="E121" s="173">
        <f>-(3.14*0.75*0.75/4*0.16)</f>
        <v>-7.0649999999999991E-2</v>
      </c>
      <c r="F121" s="174" t="s">
        <v>453</v>
      </c>
    </row>
    <row r="122" spans="2:6" ht="29.25" x14ac:dyDescent="0.25">
      <c r="B122" s="127" t="s">
        <v>191</v>
      </c>
      <c r="C122" s="137" t="s">
        <v>454</v>
      </c>
      <c r="D122" s="172" t="s">
        <v>450</v>
      </c>
      <c r="E122" s="173">
        <f>-(3.14*0.58/3*(0.375*0.375 + 0.375*0.62 + 0.62*0.62))</f>
        <v>-0.45986817666666663</v>
      </c>
      <c r="F122" s="175" t="s">
        <v>455</v>
      </c>
    </row>
    <row r="123" spans="2:6" ht="24" x14ac:dyDescent="0.25">
      <c r="B123" s="127" t="s">
        <v>191</v>
      </c>
      <c r="C123" s="137" t="s">
        <v>456</v>
      </c>
      <c r="D123" s="172" t="s">
        <v>450</v>
      </c>
      <c r="E123" s="173">
        <f>-(3.14*1.24*1.24/4*0.23)</f>
        <v>-0.27761368000000003</v>
      </c>
      <c r="F123" s="174" t="s">
        <v>457</v>
      </c>
    </row>
    <row r="124" spans="2:6" x14ac:dyDescent="0.25">
      <c r="B124" s="146"/>
      <c r="C124" s="137" t="s">
        <v>458</v>
      </c>
      <c r="D124" s="172" t="s">
        <v>450</v>
      </c>
      <c r="E124" s="173">
        <f>E120+E121+E122+E123</f>
        <v>1.3743681433333335</v>
      </c>
      <c r="F124" s="147"/>
    </row>
    <row r="125" spans="2:6" x14ac:dyDescent="0.25">
      <c r="B125" s="146"/>
      <c r="C125" s="137"/>
      <c r="D125" s="172"/>
      <c r="E125" s="173"/>
      <c r="F125" s="147"/>
    </row>
    <row r="126" spans="2:6" x14ac:dyDescent="0.25">
      <c r="B126" s="146"/>
      <c r="C126" s="137"/>
      <c r="D126" s="172"/>
      <c r="E126" s="173"/>
      <c r="F126" s="147"/>
    </row>
    <row r="127" spans="2:6" ht="38.25" x14ac:dyDescent="0.25">
      <c r="B127" s="72" t="s">
        <v>459</v>
      </c>
      <c r="C127" s="171" t="s">
        <v>460</v>
      </c>
      <c r="D127" s="138" t="s">
        <v>332</v>
      </c>
      <c r="E127" s="139">
        <f>E134</f>
        <v>1.5504224483333333</v>
      </c>
      <c r="F127" s="151"/>
    </row>
    <row r="128" spans="2:6" x14ac:dyDescent="0.25">
      <c r="B128" s="150"/>
      <c r="C128" s="142" t="s">
        <v>448</v>
      </c>
      <c r="D128" s="143"/>
      <c r="E128" s="172"/>
      <c r="F128" s="145"/>
    </row>
    <row r="129" spans="2:6" ht="24" x14ac:dyDescent="0.25">
      <c r="B129" s="127" t="s">
        <v>191</v>
      </c>
      <c r="C129" s="137" t="s">
        <v>449</v>
      </c>
      <c r="D129" s="172" t="s">
        <v>450</v>
      </c>
      <c r="E129" s="169">
        <f>1.5*1.5*0.97</f>
        <v>2.1825000000000001</v>
      </c>
      <c r="F129" s="152" t="s">
        <v>451</v>
      </c>
    </row>
    <row r="130" spans="2:6" x14ac:dyDescent="0.25">
      <c r="B130" s="127" t="s">
        <v>191</v>
      </c>
      <c r="C130" s="137" t="s">
        <v>452</v>
      </c>
      <c r="D130" s="172" t="s">
        <v>450</v>
      </c>
      <c r="E130" s="173">
        <f>-(3.14*0.75*0.75/4*0.16)</f>
        <v>-7.0649999999999991E-2</v>
      </c>
      <c r="F130" s="174" t="s">
        <v>453</v>
      </c>
    </row>
    <row r="131" spans="2:6" ht="24" x14ac:dyDescent="0.25">
      <c r="B131" s="127" t="s">
        <v>191</v>
      </c>
      <c r="C131" s="137" t="s">
        <v>461</v>
      </c>
      <c r="D131" s="172" t="s">
        <v>450</v>
      </c>
      <c r="E131" s="173">
        <f>-(3.14*0.75*0.75/4*0.18)</f>
        <v>-7.9481249999999989E-2</v>
      </c>
      <c r="F131" s="174" t="s">
        <v>462</v>
      </c>
    </row>
    <row r="132" spans="2:6" ht="29.25" x14ac:dyDescent="0.25">
      <c r="B132" s="127" t="s">
        <v>191</v>
      </c>
      <c r="C132" s="137" t="s">
        <v>454</v>
      </c>
      <c r="D132" s="172" t="s">
        <v>450</v>
      </c>
      <c r="E132" s="173">
        <f>-(3.14*0.58/3*(0.375*0.375 + 0.375*0.62 + 0.62*0.62))</f>
        <v>-0.45986817666666663</v>
      </c>
      <c r="F132" s="175" t="s">
        <v>455</v>
      </c>
    </row>
    <row r="133" spans="2:6" ht="24" x14ac:dyDescent="0.25">
      <c r="B133" s="127" t="s">
        <v>191</v>
      </c>
      <c r="C133" s="137" t="s">
        <v>463</v>
      </c>
      <c r="D133" s="172" t="s">
        <v>450</v>
      </c>
      <c r="E133" s="173">
        <f>-(3.14*0.75*0.75/4*0.05)</f>
        <v>-2.2078125000000001E-2</v>
      </c>
      <c r="F133" s="174" t="s">
        <v>464</v>
      </c>
    </row>
    <row r="134" spans="2:6" x14ac:dyDescent="0.25">
      <c r="B134" s="146"/>
      <c r="C134" s="137" t="s">
        <v>458</v>
      </c>
      <c r="D134" s="172" t="s">
        <v>450</v>
      </c>
      <c r="E134" s="173">
        <f>E129+E130+E131+E132+E133</f>
        <v>1.5504224483333333</v>
      </c>
      <c r="F134" s="147"/>
    </row>
    <row r="135" spans="2:6" x14ac:dyDescent="0.25">
      <c r="B135" s="146"/>
      <c r="C135" s="137"/>
      <c r="D135" s="123"/>
      <c r="E135" s="123"/>
      <c r="F135" s="147"/>
    </row>
    <row r="136" spans="2:6" ht="15.75" thickBot="1" x14ac:dyDescent="0.3">
      <c r="B136" s="128"/>
      <c r="C136" s="129"/>
      <c r="D136" s="131"/>
      <c r="E136" s="131"/>
      <c r="F136" s="132"/>
    </row>
    <row r="137" spans="2:6" ht="30" x14ac:dyDescent="0.25">
      <c r="B137" s="116" t="s">
        <v>465</v>
      </c>
      <c r="C137" s="170" t="s">
        <v>466</v>
      </c>
      <c r="D137" s="138" t="s">
        <v>11</v>
      </c>
      <c r="E137" s="135">
        <v>8</v>
      </c>
      <c r="F137" s="159"/>
    </row>
    <row r="138" spans="2:6" ht="24" x14ac:dyDescent="0.25">
      <c r="B138" s="146"/>
      <c r="C138" s="137" t="s">
        <v>467</v>
      </c>
      <c r="D138" s="123"/>
      <c r="E138" s="172"/>
      <c r="F138" s="152"/>
    </row>
    <row r="139" spans="2:6" x14ac:dyDescent="0.25">
      <c r="B139" s="146"/>
      <c r="C139" s="137"/>
      <c r="D139" s="123"/>
      <c r="E139" s="172"/>
      <c r="F139" s="147"/>
    </row>
    <row r="140" spans="2:6" ht="15.75" thickBot="1" x14ac:dyDescent="0.3">
      <c r="B140" s="128"/>
      <c r="C140" s="129"/>
      <c r="D140" s="131"/>
      <c r="E140" s="131"/>
      <c r="F140" s="132"/>
    </row>
    <row r="141" spans="2:6" ht="30" x14ac:dyDescent="0.25">
      <c r="B141" s="72" t="s">
        <v>468</v>
      </c>
      <c r="C141" s="170" t="s">
        <v>469</v>
      </c>
      <c r="D141" s="138" t="s">
        <v>11</v>
      </c>
      <c r="E141" s="139">
        <v>23</v>
      </c>
      <c r="F141" s="166"/>
    </row>
    <row r="142" spans="2:6" x14ac:dyDescent="0.25">
      <c r="B142" s="150"/>
      <c r="C142" s="142" t="s">
        <v>470</v>
      </c>
      <c r="D142" s="143"/>
      <c r="E142" s="143"/>
      <c r="F142" s="145"/>
    </row>
    <row r="143" spans="2:6" x14ac:dyDescent="0.25">
      <c r="B143" s="146"/>
      <c r="C143" s="137"/>
      <c r="D143" s="172"/>
      <c r="E143" s="124"/>
      <c r="F143" s="152"/>
    </row>
    <row r="144" spans="2:6" x14ac:dyDescent="0.25">
      <c r="B144" s="146"/>
      <c r="C144" s="160"/>
      <c r="D144" s="123"/>
      <c r="E144" s="123"/>
      <c r="F144" s="147"/>
    </row>
    <row r="145" spans="2:6" ht="15.75" thickBot="1" x14ac:dyDescent="0.3">
      <c r="B145" s="128"/>
      <c r="C145" s="129"/>
      <c r="D145" s="131"/>
      <c r="E145" s="131"/>
      <c r="F145" s="132"/>
    </row>
    <row r="146" spans="2:6" ht="45" x14ac:dyDescent="0.25">
      <c r="B146" s="116" t="s">
        <v>471</v>
      </c>
      <c r="C146" s="170" t="s">
        <v>472</v>
      </c>
      <c r="D146" s="138" t="s">
        <v>332</v>
      </c>
      <c r="E146" s="135">
        <f>E148+E149+E150+E151+E152+E153</f>
        <v>3.7610000000000001</v>
      </c>
      <c r="F146" s="159"/>
    </row>
    <row r="147" spans="2:6" x14ac:dyDescent="0.25">
      <c r="B147" s="146"/>
      <c r="C147" s="142" t="s">
        <v>473</v>
      </c>
      <c r="D147" s="123"/>
      <c r="E147" s="123"/>
      <c r="F147" s="147"/>
    </row>
    <row r="148" spans="2:6" x14ac:dyDescent="0.25">
      <c r="B148" s="146"/>
      <c r="C148" s="137" t="s">
        <v>474</v>
      </c>
      <c r="D148" s="123"/>
      <c r="E148" s="169">
        <f>4*0.422</f>
        <v>1.6879999999999999</v>
      </c>
      <c r="F148" s="152" t="s">
        <v>475</v>
      </c>
    </row>
    <row r="149" spans="2:6" x14ac:dyDescent="0.25">
      <c r="B149" s="146"/>
      <c r="C149" s="137" t="s">
        <v>476</v>
      </c>
      <c r="D149" s="123"/>
      <c r="E149" s="169">
        <f>2*0.249</f>
        <v>0.498</v>
      </c>
      <c r="F149" s="152" t="s">
        <v>477</v>
      </c>
    </row>
    <row r="150" spans="2:6" x14ac:dyDescent="0.25">
      <c r="B150" s="146"/>
      <c r="C150" s="137" t="s">
        <v>478</v>
      </c>
      <c r="D150" s="123"/>
      <c r="E150" s="169">
        <f>1*0.796</f>
        <v>0.79600000000000004</v>
      </c>
      <c r="F150" s="152" t="s">
        <v>479</v>
      </c>
    </row>
    <row r="151" spans="2:6" x14ac:dyDescent="0.25">
      <c r="B151" s="146"/>
      <c r="C151" s="137" t="s">
        <v>480</v>
      </c>
      <c r="D151" s="123"/>
      <c r="E151" s="169">
        <f>1*0.681</f>
        <v>0.68100000000000005</v>
      </c>
      <c r="F151" s="152" t="s">
        <v>481</v>
      </c>
    </row>
    <row r="152" spans="2:6" x14ac:dyDescent="0.25">
      <c r="B152" s="146"/>
      <c r="C152" s="137" t="s">
        <v>482</v>
      </c>
      <c r="D152" s="123"/>
      <c r="E152" s="169">
        <f>2*0.027</f>
        <v>5.3999999999999999E-2</v>
      </c>
      <c r="F152" s="152" t="s">
        <v>483</v>
      </c>
    </row>
    <row r="153" spans="2:6" x14ac:dyDescent="0.25">
      <c r="B153" s="146"/>
      <c r="C153" s="137" t="s">
        <v>484</v>
      </c>
      <c r="D153" s="123"/>
      <c r="E153" s="169">
        <f>2*0.022</f>
        <v>4.3999999999999997E-2</v>
      </c>
      <c r="F153" s="152" t="s">
        <v>485</v>
      </c>
    </row>
    <row r="154" spans="2:6" x14ac:dyDescent="0.25">
      <c r="B154" s="146"/>
      <c r="C154" s="137"/>
      <c r="D154" s="123"/>
      <c r="E154" s="124"/>
      <c r="F154" s="152"/>
    </row>
    <row r="155" spans="2:6" ht="15.75" thickBot="1" x14ac:dyDescent="0.3">
      <c r="B155" s="128"/>
      <c r="C155" s="129"/>
      <c r="D155" s="131"/>
      <c r="E155" s="131"/>
      <c r="F155" s="132"/>
    </row>
    <row r="156" spans="2:6" ht="30" x14ac:dyDescent="0.25">
      <c r="B156" s="116" t="s">
        <v>486</v>
      </c>
      <c r="C156" s="170" t="s">
        <v>487</v>
      </c>
      <c r="D156" s="134" t="s">
        <v>93</v>
      </c>
      <c r="E156" s="135">
        <v>2</v>
      </c>
      <c r="F156" s="159"/>
    </row>
    <row r="157" spans="2:6" x14ac:dyDescent="0.25">
      <c r="B157" s="146"/>
      <c r="C157" s="142" t="s">
        <v>488</v>
      </c>
      <c r="D157" s="123"/>
      <c r="E157" s="123"/>
      <c r="F157" s="147"/>
    </row>
    <row r="158" spans="2:6" x14ac:dyDescent="0.25">
      <c r="B158" s="146"/>
      <c r="C158" s="137" t="s">
        <v>489</v>
      </c>
      <c r="D158" s="172" t="s">
        <v>68</v>
      </c>
      <c r="E158" s="173" t="s">
        <v>490</v>
      </c>
      <c r="F158" s="147"/>
    </row>
    <row r="159" spans="2:6" x14ac:dyDescent="0.25">
      <c r="B159" s="213"/>
      <c r="C159" s="214" t="s">
        <v>491</v>
      </c>
      <c r="D159" s="215" t="s">
        <v>68</v>
      </c>
      <c r="E159" s="216" t="s">
        <v>492</v>
      </c>
      <c r="F159" s="147"/>
    </row>
    <row r="160" spans="2:6" x14ac:dyDescent="0.25">
      <c r="B160" s="146"/>
      <c r="C160" s="160"/>
      <c r="D160" s="123"/>
      <c r="E160" s="123"/>
      <c r="F160" s="147"/>
    </row>
    <row r="161" spans="2:6" ht="15.75" thickBot="1" x14ac:dyDescent="0.3">
      <c r="B161" s="128"/>
      <c r="C161" s="129"/>
      <c r="D161" s="131"/>
      <c r="E161" s="131"/>
      <c r="F161" s="132"/>
    </row>
    <row r="162" spans="2:6" x14ac:dyDescent="0.25">
      <c r="B162" s="72" t="s">
        <v>493</v>
      </c>
      <c r="C162" s="176" t="s">
        <v>494</v>
      </c>
      <c r="D162" s="138" t="s">
        <v>332</v>
      </c>
      <c r="E162" s="139">
        <f>E95</f>
        <v>1.1677128000000001</v>
      </c>
      <c r="F162" s="166"/>
    </row>
    <row r="163" spans="2:6" x14ac:dyDescent="0.25">
      <c r="B163" s="150"/>
      <c r="C163" s="142" t="s">
        <v>495</v>
      </c>
      <c r="D163" s="143"/>
      <c r="E163" s="143"/>
      <c r="F163" s="145"/>
    </row>
    <row r="164" spans="2:6" ht="15.75" thickBot="1" x14ac:dyDescent="0.3">
      <c r="B164" s="146"/>
      <c r="C164" s="137"/>
      <c r="D164" s="123"/>
      <c r="E164" s="123"/>
      <c r="F164" s="152"/>
    </row>
    <row r="165" spans="2:6" x14ac:dyDescent="0.25">
      <c r="B165" s="116" t="s">
        <v>496</v>
      </c>
      <c r="C165" s="177" t="s">
        <v>497</v>
      </c>
      <c r="D165" s="134" t="s">
        <v>93</v>
      </c>
      <c r="E165" s="135">
        <v>1</v>
      </c>
      <c r="F165" s="159"/>
    </row>
    <row r="166" spans="2:6" x14ac:dyDescent="0.25">
      <c r="B166" s="146"/>
      <c r="C166" s="137"/>
      <c r="D166" s="172"/>
      <c r="E166" s="124"/>
      <c r="F166" s="152"/>
    </row>
    <row r="167" spans="2:6" ht="15.75" thickBot="1" x14ac:dyDescent="0.3">
      <c r="B167" s="128"/>
      <c r="C167" s="129"/>
      <c r="D167" s="131"/>
      <c r="E167" s="131"/>
      <c r="F167" s="132"/>
    </row>
    <row r="168" spans="2:6" x14ac:dyDescent="0.25">
      <c r="F168" s="110"/>
    </row>
    <row r="170" spans="2:6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&amp;RVýkaz výměr SO 03</oddHeader>
    <oddFooter>&amp;L&amp;F&amp;C&amp;A&amp;R&amp;P/&amp;N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6F836-69D1-4F56-BE97-6A06325622DF}">
  <dimension ref="B2:R244"/>
  <sheetViews>
    <sheetView topLeftCell="A73" workbookViewId="0">
      <selection activeCell="D260" sqref="D238:D260"/>
    </sheetView>
  </sheetViews>
  <sheetFormatPr defaultRowHeight="15" x14ac:dyDescent="0.25"/>
  <cols>
    <col min="1" max="1" width="2.85546875" style="1" customWidth="1"/>
    <col min="2" max="2" width="4.140625" style="1" customWidth="1"/>
    <col min="3" max="3" width="10.85546875" style="1" customWidth="1"/>
    <col min="4" max="4" width="13" style="1" customWidth="1"/>
    <col min="5" max="5" width="9.85546875" style="1" customWidth="1"/>
    <col min="6" max="6" width="7.42578125" style="1" customWidth="1"/>
    <col min="7" max="7" width="9.140625" style="1" customWidth="1"/>
    <col min="8" max="8" width="8.7109375" style="1" customWidth="1"/>
    <col min="9" max="9" width="7.5703125" style="1" customWidth="1"/>
    <col min="10" max="10" width="6.85546875" style="1" customWidth="1"/>
    <col min="11" max="12" width="8.42578125" style="1" customWidth="1"/>
    <col min="13" max="13" width="11.42578125" style="1" bestFit="1" customWidth="1"/>
    <col min="14" max="14" width="9.140625" style="1"/>
    <col min="15" max="15" width="11.42578125" style="1" bestFit="1" customWidth="1"/>
    <col min="16" max="16" width="9.140625" style="1"/>
    <col min="17" max="17" width="11.28515625" style="1" customWidth="1"/>
    <col min="18" max="16384" width="9.140625" style="1"/>
  </cols>
  <sheetData>
    <row r="2" spans="2:18" ht="15.75" x14ac:dyDescent="0.25">
      <c r="B2" s="2" t="s">
        <v>31</v>
      </c>
      <c r="C2" s="45"/>
      <c r="D2" s="45"/>
    </row>
    <row r="3" spans="2:18" ht="15.75" x14ac:dyDescent="0.25">
      <c r="B3" s="2" t="s">
        <v>32</v>
      </c>
      <c r="C3" s="45"/>
      <c r="D3" s="45"/>
    </row>
    <row r="4" spans="2:18" ht="15.75" x14ac:dyDescent="0.25">
      <c r="B4" s="2"/>
    </row>
    <row r="5" spans="2:18" ht="15.75" x14ac:dyDescent="0.25">
      <c r="B5" s="4" t="s">
        <v>30</v>
      </c>
    </row>
    <row r="6" spans="2:18" x14ac:dyDescent="0.25">
      <c r="B6" s="5" t="s">
        <v>124</v>
      </c>
    </row>
    <row r="7" spans="2:18" x14ac:dyDescent="0.25">
      <c r="B7" s="6" t="s">
        <v>1</v>
      </c>
    </row>
    <row r="8" spans="2:18" x14ac:dyDescent="0.25">
      <c r="B8" s="6" t="s">
        <v>2</v>
      </c>
    </row>
    <row r="9" spans="2:18" x14ac:dyDescent="0.25">
      <c r="B9" s="7" t="s">
        <v>284</v>
      </c>
    </row>
    <row r="10" spans="2:18" ht="8.25" customHeight="1" x14ac:dyDescent="0.25">
      <c r="B10" s="9"/>
      <c r="C10" s="9"/>
      <c r="D10" s="9"/>
      <c r="E10" s="9"/>
      <c r="F10" s="10"/>
      <c r="G10" s="12"/>
      <c r="H10" s="9"/>
      <c r="I10" s="12"/>
      <c r="J10" s="9"/>
      <c r="K10" s="9"/>
      <c r="L10" s="13"/>
      <c r="M10" s="11"/>
      <c r="N10" s="12"/>
      <c r="O10" s="9"/>
      <c r="P10" s="12"/>
      <c r="Q10" s="9"/>
      <c r="R10" s="12"/>
    </row>
    <row r="11" spans="2:18" ht="15.75" x14ac:dyDescent="0.25">
      <c r="B11" s="109" t="s">
        <v>260</v>
      </c>
      <c r="C11" s="9"/>
      <c r="D11" s="9"/>
      <c r="E11" s="12"/>
      <c r="F11" s="9"/>
      <c r="G11" s="12"/>
    </row>
    <row r="12" spans="2:18" x14ac:dyDescent="0.25">
      <c r="B12" s="12"/>
      <c r="C12" s="85"/>
      <c r="D12" s="86"/>
      <c r="E12" s="12"/>
      <c r="F12" s="85"/>
      <c r="G12" s="12"/>
    </row>
    <row r="13" spans="2:18" ht="15" customHeight="1" thickBot="1" x14ac:dyDescent="0.3">
      <c r="B13" s="88"/>
      <c r="C13" s="88"/>
      <c r="D13" s="88"/>
      <c r="E13" s="88"/>
      <c r="F13" s="88"/>
      <c r="G13" s="88"/>
      <c r="H13" s="88"/>
      <c r="I13" s="88"/>
      <c r="J13" s="88"/>
    </row>
    <row r="14" spans="2:18" ht="15" customHeight="1" x14ac:dyDescent="0.25">
      <c r="B14" s="288" t="s">
        <v>22</v>
      </c>
      <c r="C14" s="289"/>
      <c r="D14" s="294" t="s">
        <v>21</v>
      </c>
      <c r="E14" s="296" t="s">
        <v>501</v>
      </c>
      <c r="F14" s="297"/>
      <c r="G14" s="298"/>
      <c r="H14" s="296" t="s">
        <v>322</v>
      </c>
      <c r="I14" s="297"/>
      <c r="J14" s="298"/>
    </row>
    <row r="15" spans="2:18" ht="15" customHeight="1" x14ac:dyDescent="0.25">
      <c r="B15" s="290"/>
      <c r="C15" s="291"/>
      <c r="D15" s="295"/>
      <c r="E15" s="299" t="s">
        <v>323</v>
      </c>
      <c r="F15" s="300"/>
      <c r="G15" s="301"/>
      <c r="H15" s="299"/>
      <c r="I15" s="300"/>
      <c r="J15" s="301"/>
    </row>
    <row r="16" spans="2:18" ht="15" customHeight="1" thickBot="1" x14ac:dyDescent="0.3">
      <c r="B16" s="292"/>
      <c r="C16" s="293"/>
      <c r="D16" s="295"/>
      <c r="E16" s="302"/>
      <c r="F16" s="300"/>
      <c r="G16" s="301"/>
      <c r="H16" s="302"/>
      <c r="I16" s="300"/>
      <c r="J16" s="301"/>
    </row>
    <row r="17" spans="2:10" ht="15" customHeight="1" x14ac:dyDescent="0.25">
      <c r="B17" s="89" t="s">
        <v>17</v>
      </c>
      <c r="C17" s="217" t="s">
        <v>18</v>
      </c>
      <c r="D17" s="295"/>
      <c r="E17" s="90" t="s">
        <v>324</v>
      </c>
      <c r="F17" s="91" t="s">
        <v>325</v>
      </c>
      <c r="G17" s="92" t="s">
        <v>326</v>
      </c>
      <c r="H17" s="90" t="s">
        <v>324</v>
      </c>
      <c r="I17" s="91" t="s">
        <v>325</v>
      </c>
      <c r="J17" s="92" t="s">
        <v>326</v>
      </c>
    </row>
    <row r="18" spans="2:10" ht="15" customHeight="1" thickBot="1" x14ac:dyDescent="0.3">
      <c r="B18" s="93"/>
      <c r="C18" s="93" t="s">
        <v>13</v>
      </c>
      <c r="D18" s="94" t="s">
        <v>11</v>
      </c>
      <c r="E18" s="95" t="s">
        <v>327</v>
      </c>
      <c r="F18" s="96" t="s">
        <v>327</v>
      </c>
      <c r="G18" s="97" t="s">
        <v>328</v>
      </c>
      <c r="H18" s="95" t="s">
        <v>327</v>
      </c>
      <c r="I18" s="96" t="s">
        <v>327</v>
      </c>
      <c r="J18" s="97" t="s">
        <v>328</v>
      </c>
    </row>
    <row r="19" spans="2:10" ht="15" customHeight="1" thickBot="1" x14ac:dyDescent="0.3">
      <c r="B19" s="98"/>
      <c r="C19" s="99"/>
      <c r="D19" s="100"/>
      <c r="E19" s="99"/>
      <c r="F19" s="99"/>
      <c r="G19" s="99"/>
      <c r="H19" s="99"/>
      <c r="I19" s="99"/>
      <c r="J19" s="101"/>
    </row>
    <row r="20" spans="2:10" ht="15" customHeight="1" x14ac:dyDescent="0.25">
      <c r="B20" s="102">
        <v>1</v>
      </c>
      <c r="C20" s="218">
        <v>-1E-3</v>
      </c>
      <c r="D20" s="303">
        <f>+(C21-C20)*1000</f>
        <v>1</v>
      </c>
      <c r="E20" s="103">
        <v>4.63</v>
      </c>
      <c r="F20" s="287">
        <f>+(E20+E21)/2</f>
        <v>4.63</v>
      </c>
      <c r="G20" s="304">
        <f>+D20*F20*1.25</f>
        <v>5.7874999999999996</v>
      </c>
      <c r="H20" s="104"/>
      <c r="I20" s="287"/>
      <c r="J20" s="285"/>
    </row>
    <row r="21" spans="2:10" ht="15" customHeight="1" x14ac:dyDescent="0.25">
      <c r="B21" s="260">
        <v>2</v>
      </c>
      <c r="C21" s="262">
        <v>0</v>
      </c>
      <c r="D21" s="274"/>
      <c r="E21" s="264">
        <v>4.63</v>
      </c>
      <c r="F21" s="275"/>
      <c r="G21" s="281"/>
      <c r="H21" s="264"/>
      <c r="I21" s="275"/>
      <c r="J21" s="284"/>
    </row>
    <row r="22" spans="2:10" ht="15" customHeight="1" x14ac:dyDescent="0.25">
      <c r="B22" s="267"/>
      <c r="C22" s="284"/>
      <c r="D22" s="268">
        <f>+(C23-C21)*1000</f>
        <v>0.97000000000000008</v>
      </c>
      <c r="E22" s="267"/>
      <c r="F22" s="270">
        <f>+(E21+E23)/2</f>
        <v>4.5199999999999996</v>
      </c>
      <c r="G22" s="276">
        <f>+D22*F22*1.25</f>
        <v>5.4805000000000001</v>
      </c>
      <c r="H22" s="267"/>
      <c r="I22" s="270"/>
      <c r="J22" s="278"/>
    </row>
    <row r="23" spans="2:10" ht="15" customHeight="1" x14ac:dyDescent="0.25">
      <c r="B23" s="260">
        <v>3</v>
      </c>
      <c r="C23" s="262">
        <v>9.7000000000000005E-4</v>
      </c>
      <c r="D23" s="274"/>
      <c r="E23" s="264">
        <v>4.41</v>
      </c>
      <c r="F23" s="275"/>
      <c r="G23" s="281"/>
      <c r="H23" s="264"/>
      <c r="I23" s="275"/>
      <c r="J23" s="284"/>
    </row>
    <row r="24" spans="2:10" ht="15" customHeight="1" x14ac:dyDescent="0.25">
      <c r="B24" s="267"/>
      <c r="C24" s="284"/>
      <c r="D24" s="268">
        <f>+(C25-C23)*1000</f>
        <v>0.64</v>
      </c>
      <c r="E24" s="267"/>
      <c r="F24" s="270">
        <f>+(E23+E25)/2</f>
        <v>4.28</v>
      </c>
      <c r="G24" s="276">
        <f>+D24*F24*1.25</f>
        <v>3.4240000000000004</v>
      </c>
      <c r="H24" s="267"/>
      <c r="I24" s="270"/>
      <c r="J24" s="278"/>
    </row>
    <row r="25" spans="2:10" ht="15" customHeight="1" x14ac:dyDescent="0.25">
      <c r="B25" s="260">
        <v>4</v>
      </c>
      <c r="C25" s="262">
        <v>1.6100000000000001E-3</v>
      </c>
      <c r="D25" s="274"/>
      <c r="E25" s="264">
        <v>4.1500000000000004</v>
      </c>
      <c r="F25" s="275"/>
      <c r="G25" s="281"/>
      <c r="H25" s="264"/>
      <c r="I25" s="275"/>
      <c r="J25" s="284"/>
    </row>
    <row r="26" spans="2:10" ht="15" customHeight="1" x14ac:dyDescent="0.25">
      <c r="B26" s="267"/>
      <c r="C26" s="284"/>
      <c r="D26" s="268">
        <f>+(C27-C25)*1000</f>
        <v>0.62000000000000011</v>
      </c>
      <c r="E26" s="267"/>
      <c r="F26" s="270">
        <f>+(E25+E27)/2</f>
        <v>3.99</v>
      </c>
      <c r="G26" s="276">
        <f>+D26*F26*1.25</f>
        <v>3.0922500000000008</v>
      </c>
      <c r="H26" s="267"/>
      <c r="I26" s="270"/>
      <c r="J26" s="278"/>
    </row>
    <row r="27" spans="2:10" ht="15" customHeight="1" x14ac:dyDescent="0.25">
      <c r="B27" s="260">
        <v>5</v>
      </c>
      <c r="C27" s="262">
        <v>2.2300000000000002E-3</v>
      </c>
      <c r="D27" s="274"/>
      <c r="E27" s="264">
        <v>3.83</v>
      </c>
      <c r="F27" s="275"/>
      <c r="G27" s="281"/>
      <c r="H27" s="264"/>
      <c r="I27" s="275"/>
      <c r="J27" s="284"/>
    </row>
    <row r="28" spans="2:10" ht="15" customHeight="1" x14ac:dyDescent="0.25">
      <c r="B28" s="267"/>
      <c r="C28" s="284"/>
      <c r="D28" s="268">
        <f>+(C29-C27)*1000</f>
        <v>0.50999999999999956</v>
      </c>
      <c r="E28" s="267"/>
      <c r="F28" s="270">
        <f>+(E27+E29)/2</f>
        <v>3.69</v>
      </c>
      <c r="G28" s="276">
        <f>+D28*F28*1.25</f>
        <v>2.3523749999999981</v>
      </c>
      <c r="H28" s="267"/>
      <c r="I28" s="270"/>
      <c r="J28" s="278"/>
    </row>
    <row r="29" spans="2:10" ht="15" customHeight="1" x14ac:dyDescent="0.25">
      <c r="B29" s="260">
        <v>6</v>
      </c>
      <c r="C29" s="262">
        <v>2.7399999999999998E-3</v>
      </c>
      <c r="D29" s="274"/>
      <c r="E29" s="264">
        <v>3.55</v>
      </c>
      <c r="F29" s="275"/>
      <c r="G29" s="281"/>
      <c r="H29" s="264"/>
      <c r="I29" s="275"/>
      <c r="J29" s="284"/>
    </row>
    <row r="30" spans="2:10" ht="15" customHeight="1" x14ac:dyDescent="0.25">
      <c r="B30" s="267"/>
      <c r="C30" s="284"/>
      <c r="D30" s="268">
        <f>+(C31-C29)*1000</f>
        <v>0.45000000000000029</v>
      </c>
      <c r="E30" s="267"/>
      <c r="F30" s="270">
        <f>+(E29+E31)/2</f>
        <v>3.46</v>
      </c>
      <c r="G30" s="276">
        <f>+D30*F30*1.25</f>
        <v>1.9462500000000014</v>
      </c>
      <c r="H30" s="267"/>
      <c r="I30" s="270"/>
      <c r="J30" s="278"/>
    </row>
    <row r="31" spans="2:10" ht="15" customHeight="1" x14ac:dyDescent="0.25">
      <c r="B31" s="260">
        <v>7</v>
      </c>
      <c r="C31" s="262">
        <v>3.1900000000000001E-3</v>
      </c>
      <c r="D31" s="274"/>
      <c r="E31" s="264">
        <v>3.37</v>
      </c>
      <c r="F31" s="275"/>
      <c r="G31" s="281"/>
      <c r="H31" s="264"/>
      <c r="I31" s="275"/>
      <c r="J31" s="284"/>
    </row>
    <row r="32" spans="2:10" ht="15" customHeight="1" x14ac:dyDescent="0.25">
      <c r="B32" s="267"/>
      <c r="C32" s="284"/>
      <c r="D32" s="268">
        <f>+(C33-C31)*1000</f>
        <v>0.46999999999999992</v>
      </c>
      <c r="E32" s="267"/>
      <c r="F32" s="270">
        <f>+(E31+E33)/2</f>
        <v>2.54</v>
      </c>
      <c r="G32" s="276">
        <f>+D32*F32*1.25</f>
        <v>1.4922499999999996</v>
      </c>
      <c r="H32" s="267"/>
      <c r="I32" s="270"/>
      <c r="J32" s="278"/>
    </row>
    <row r="33" spans="2:10" ht="15" customHeight="1" x14ac:dyDescent="0.25">
      <c r="B33" s="260">
        <v>8</v>
      </c>
      <c r="C33" s="262">
        <v>3.6600000000000001E-3</v>
      </c>
      <c r="D33" s="274"/>
      <c r="E33" s="264">
        <v>1.71</v>
      </c>
      <c r="F33" s="275"/>
      <c r="G33" s="281"/>
      <c r="H33" s="264"/>
      <c r="I33" s="275"/>
      <c r="J33" s="284"/>
    </row>
    <row r="34" spans="2:10" ht="15" customHeight="1" x14ac:dyDescent="0.25">
      <c r="B34" s="267"/>
      <c r="C34" s="284"/>
      <c r="D34" s="268">
        <f>+(C35-C33)*1000</f>
        <v>2.79</v>
      </c>
      <c r="E34" s="267"/>
      <c r="F34" s="270">
        <f>+(E33+E35)/2</f>
        <v>1.6850000000000001</v>
      </c>
      <c r="G34" s="276">
        <f>+D34*F34*1.25</f>
        <v>5.8764374999999998</v>
      </c>
      <c r="H34" s="267"/>
      <c r="I34" s="270"/>
      <c r="J34" s="278"/>
    </row>
    <row r="35" spans="2:10" ht="15" customHeight="1" x14ac:dyDescent="0.25">
      <c r="B35" s="260">
        <v>9</v>
      </c>
      <c r="C35" s="262">
        <v>6.45E-3</v>
      </c>
      <c r="D35" s="274"/>
      <c r="E35" s="264">
        <v>1.66</v>
      </c>
      <c r="F35" s="275"/>
      <c r="G35" s="281"/>
      <c r="H35" s="264"/>
      <c r="I35" s="275"/>
      <c r="J35" s="284"/>
    </row>
    <row r="36" spans="2:10" ht="15" customHeight="1" x14ac:dyDescent="0.25">
      <c r="B36" s="267"/>
      <c r="C36" s="284"/>
      <c r="D36" s="268">
        <f>+(C37-C35)*1000</f>
        <v>2.9400000000000008</v>
      </c>
      <c r="E36" s="267"/>
      <c r="F36" s="270">
        <f>+(E35+E37)/2</f>
        <v>1.7549999999999999</v>
      </c>
      <c r="G36" s="276">
        <f>+D36*F36*1.25</f>
        <v>6.4496250000000011</v>
      </c>
      <c r="H36" s="267"/>
      <c r="I36" s="270"/>
      <c r="J36" s="278"/>
    </row>
    <row r="37" spans="2:10" ht="15" customHeight="1" thickBot="1" x14ac:dyDescent="0.3">
      <c r="B37" s="260">
        <v>10</v>
      </c>
      <c r="C37" s="262">
        <v>9.3900000000000008E-3</v>
      </c>
      <c r="D37" s="274"/>
      <c r="E37" s="264">
        <v>1.85</v>
      </c>
      <c r="F37" s="275"/>
      <c r="G37" s="281"/>
      <c r="H37" s="264"/>
      <c r="I37" s="275"/>
      <c r="J37" s="284"/>
    </row>
    <row r="38" spans="2:10" ht="15" customHeight="1" x14ac:dyDescent="0.25">
      <c r="B38" s="267"/>
      <c r="C38" s="284"/>
      <c r="D38" s="268">
        <f>+(C39-C37)*1000</f>
        <v>0.73999999999999932</v>
      </c>
      <c r="E38" s="265"/>
      <c r="F38" s="286">
        <f>+(E37+E39)/2</f>
        <v>2.5049999999999999</v>
      </c>
      <c r="G38" s="276">
        <f>+D38*F38*1.25</f>
        <v>2.3171249999999977</v>
      </c>
      <c r="H38" s="267"/>
      <c r="I38" s="287"/>
      <c r="J38" s="285"/>
    </row>
    <row r="39" spans="2:10" ht="15" customHeight="1" x14ac:dyDescent="0.25">
      <c r="B39" s="260">
        <v>11</v>
      </c>
      <c r="C39" s="262">
        <v>1.013E-2</v>
      </c>
      <c r="D39" s="274"/>
      <c r="E39" s="264">
        <v>3.16</v>
      </c>
      <c r="F39" s="275"/>
      <c r="G39" s="281"/>
      <c r="H39" s="264"/>
      <c r="I39" s="275"/>
      <c r="J39" s="284"/>
    </row>
    <row r="40" spans="2:10" ht="15" customHeight="1" x14ac:dyDescent="0.25">
      <c r="B40" s="267"/>
      <c r="C40" s="284"/>
      <c r="D40" s="268">
        <f>+(C41-C39)*1000</f>
        <v>1.5799999999999998</v>
      </c>
      <c r="E40" s="267"/>
      <c r="F40" s="270">
        <f>+(E39+E41)/2</f>
        <v>3.2750000000000004</v>
      </c>
      <c r="G40" s="276">
        <f>+D40*F40*1.25</f>
        <v>6.4681250000000006</v>
      </c>
      <c r="H40" s="267"/>
      <c r="I40" s="270"/>
      <c r="J40" s="278"/>
    </row>
    <row r="41" spans="2:10" ht="15" customHeight="1" x14ac:dyDescent="0.25">
      <c r="B41" s="260">
        <v>12</v>
      </c>
      <c r="C41" s="262">
        <v>1.171E-2</v>
      </c>
      <c r="D41" s="274"/>
      <c r="E41" s="264">
        <v>3.39</v>
      </c>
      <c r="F41" s="275"/>
      <c r="G41" s="281"/>
      <c r="H41" s="264"/>
      <c r="I41" s="275"/>
      <c r="J41" s="284"/>
    </row>
    <row r="42" spans="2:10" ht="15" customHeight="1" x14ac:dyDescent="0.25">
      <c r="B42" s="267"/>
      <c r="C42" s="284"/>
      <c r="D42" s="268">
        <f>+(C43-C41)*1000</f>
        <v>0.34</v>
      </c>
      <c r="E42" s="267"/>
      <c r="F42" s="270">
        <f>+(E41+E43)/2</f>
        <v>3.3849999999999998</v>
      </c>
      <c r="G42" s="276">
        <f>+D42*F42*1.25</f>
        <v>1.438625</v>
      </c>
      <c r="H42" s="267"/>
      <c r="I42" s="270"/>
      <c r="J42" s="278"/>
    </row>
    <row r="43" spans="2:10" ht="15" customHeight="1" x14ac:dyDescent="0.25">
      <c r="B43" s="260">
        <v>13</v>
      </c>
      <c r="C43" s="262">
        <v>1.205E-2</v>
      </c>
      <c r="D43" s="274"/>
      <c r="E43" s="264">
        <v>3.38</v>
      </c>
      <c r="F43" s="275"/>
      <c r="G43" s="281"/>
      <c r="H43" s="264"/>
      <c r="I43" s="275"/>
      <c r="J43" s="284"/>
    </row>
    <row r="44" spans="2:10" ht="15" customHeight="1" x14ac:dyDescent="0.25">
      <c r="B44" s="267"/>
      <c r="C44" s="284"/>
      <c r="D44" s="268">
        <f>+(C45-C43)*1000</f>
        <v>1.0699999999999998</v>
      </c>
      <c r="E44" s="267"/>
      <c r="F44" s="270">
        <f>+(E43+E45)/2</f>
        <v>3.21</v>
      </c>
      <c r="G44" s="276">
        <f>+D44*F44*1.25</f>
        <v>4.2933749999999993</v>
      </c>
      <c r="H44" s="267"/>
      <c r="I44" s="270"/>
      <c r="J44" s="278"/>
    </row>
    <row r="45" spans="2:10" ht="15" customHeight="1" x14ac:dyDescent="0.25">
      <c r="B45" s="260">
        <v>14</v>
      </c>
      <c r="C45" s="262">
        <v>1.312E-2</v>
      </c>
      <c r="D45" s="274"/>
      <c r="E45" s="264">
        <v>3.04</v>
      </c>
      <c r="F45" s="275"/>
      <c r="G45" s="281"/>
      <c r="H45" s="264"/>
      <c r="I45" s="275"/>
      <c r="J45" s="284"/>
    </row>
    <row r="46" spans="2:10" ht="15" customHeight="1" x14ac:dyDescent="0.25">
      <c r="B46" s="267"/>
      <c r="C46" s="284"/>
      <c r="D46" s="268">
        <f>+(C47-C45)*1000</f>
        <v>2</v>
      </c>
      <c r="E46" s="267"/>
      <c r="F46" s="270">
        <f>+(E45+E47)/2</f>
        <v>2.98</v>
      </c>
      <c r="G46" s="276">
        <f>+D46*F46*1.25</f>
        <v>7.45</v>
      </c>
      <c r="H46" s="267"/>
      <c r="I46" s="270"/>
      <c r="J46" s="278"/>
    </row>
    <row r="47" spans="2:10" x14ac:dyDescent="0.25">
      <c r="B47" s="260">
        <v>15</v>
      </c>
      <c r="C47" s="262">
        <v>1.512E-2</v>
      </c>
      <c r="D47" s="274"/>
      <c r="E47" s="264">
        <v>2.92</v>
      </c>
      <c r="F47" s="275"/>
      <c r="G47" s="281"/>
      <c r="H47" s="264"/>
      <c r="I47" s="275"/>
      <c r="J47" s="284"/>
    </row>
    <row r="48" spans="2:10" x14ac:dyDescent="0.25">
      <c r="B48" s="265"/>
      <c r="C48" s="266"/>
      <c r="D48" s="268">
        <f>+(C49-C47)*1000</f>
        <v>1.32</v>
      </c>
      <c r="E48" s="267"/>
      <c r="F48" s="270">
        <f>+(E47+E49)/2</f>
        <v>2.8200000000000003</v>
      </c>
      <c r="G48" s="276">
        <f>+D48*F48*1.25</f>
        <v>4.6530000000000005</v>
      </c>
      <c r="H48" s="265"/>
      <c r="I48" s="270"/>
      <c r="J48" s="278"/>
    </row>
    <row r="49" spans="2:10" x14ac:dyDescent="0.25">
      <c r="B49" s="260">
        <v>16</v>
      </c>
      <c r="C49" s="262">
        <v>1.644E-2</v>
      </c>
      <c r="D49" s="274"/>
      <c r="E49" s="264">
        <v>2.72</v>
      </c>
      <c r="F49" s="275"/>
      <c r="G49" s="281"/>
      <c r="H49" s="264"/>
      <c r="I49" s="275"/>
      <c r="J49" s="284"/>
    </row>
    <row r="50" spans="2:10" x14ac:dyDescent="0.25">
      <c r="B50" s="265"/>
      <c r="C50" s="266"/>
      <c r="D50" s="268">
        <f>+(C51-C49)*1000</f>
        <v>1.7700000000000007</v>
      </c>
      <c r="E50" s="267"/>
      <c r="F50" s="270">
        <f>+(E49+E51)/2</f>
        <v>2.66</v>
      </c>
      <c r="G50" s="276">
        <f>+D50*F50*1.25</f>
        <v>5.8852500000000028</v>
      </c>
      <c r="H50" s="265"/>
      <c r="I50" s="270"/>
      <c r="J50" s="278"/>
    </row>
    <row r="51" spans="2:10" x14ac:dyDescent="0.25">
      <c r="B51" s="260">
        <v>17</v>
      </c>
      <c r="C51" s="262">
        <v>1.821E-2</v>
      </c>
      <c r="D51" s="274"/>
      <c r="E51" s="264">
        <v>2.6</v>
      </c>
      <c r="F51" s="275"/>
      <c r="G51" s="281"/>
      <c r="H51" s="282"/>
      <c r="I51" s="283"/>
      <c r="J51" s="280"/>
    </row>
    <row r="52" spans="2:10" x14ac:dyDescent="0.25">
      <c r="B52" s="265"/>
      <c r="C52" s="266"/>
      <c r="D52" s="268">
        <f>+(C53-C51)*1000</f>
        <v>1.5900000000000012</v>
      </c>
      <c r="E52" s="267"/>
      <c r="F52" s="270">
        <f>+(E51+E53)/2</f>
        <v>1.59</v>
      </c>
      <c r="G52" s="276">
        <f>+D52*F52*1.25</f>
        <v>3.1601250000000025</v>
      </c>
      <c r="H52" s="265"/>
      <c r="I52" s="270"/>
      <c r="J52" s="279"/>
    </row>
    <row r="53" spans="2:10" x14ac:dyDescent="0.25">
      <c r="B53" s="260">
        <v>18</v>
      </c>
      <c r="C53" s="262">
        <v>1.9800000000000002E-2</v>
      </c>
      <c r="D53" s="274"/>
      <c r="E53" s="264">
        <v>0.57999999999999996</v>
      </c>
      <c r="F53" s="275"/>
      <c r="G53" s="281"/>
      <c r="H53" s="264"/>
      <c r="I53" s="283"/>
      <c r="J53" s="280"/>
    </row>
    <row r="54" spans="2:10" x14ac:dyDescent="0.25">
      <c r="B54" s="265"/>
      <c r="C54" s="266"/>
      <c r="D54" s="268">
        <f>+(C55-C53)*1000</f>
        <v>1.4999999999999978</v>
      </c>
      <c r="E54" s="267"/>
      <c r="F54" s="270">
        <f>+(E53+E55)/2</f>
        <v>0.28999999999999998</v>
      </c>
      <c r="G54" s="276">
        <f>+D54*F54*1.25</f>
        <v>0.54374999999999918</v>
      </c>
      <c r="H54" s="265"/>
      <c r="I54" s="270"/>
      <c r="J54" s="262"/>
    </row>
    <row r="55" spans="2:10" x14ac:dyDescent="0.25">
      <c r="B55" s="260">
        <v>19</v>
      </c>
      <c r="C55" s="262">
        <v>2.1299999999999999E-2</v>
      </c>
      <c r="D55" s="274"/>
      <c r="E55" s="264">
        <v>0</v>
      </c>
      <c r="F55" s="275"/>
      <c r="G55" s="281"/>
      <c r="H55" s="264"/>
      <c r="I55" s="275"/>
      <c r="J55" s="266"/>
    </row>
    <row r="56" spans="2:10" x14ac:dyDescent="0.25">
      <c r="B56" s="265"/>
      <c r="C56" s="266"/>
      <c r="D56" s="268">
        <f>+(C57-C55)*1000</f>
        <v>9.9999999999995925E-3</v>
      </c>
      <c r="E56" s="267"/>
      <c r="F56" s="270">
        <f>+(E55+E57)/2</f>
        <v>0</v>
      </c>
      <c r="G56" s="276">
        <f>+D56*F56*1.25</f>
        <v>0</v>
      </c>
      <c r="H56" s="265"/>
      <c r="I56" s="270"/>
      <c r="J56" s="278"/>
    </row>
    <row r="57" spans="2:10" ht="15.75" thickBot="1" x14ac:dyDescent="0.3">
      <c r="B57" s="260">
        <v>20</v>
      </c>
      <c r="C57" s="262">
        <v>2.1309999999999999E-2</v>
      </c>
      <c r="D57" s="274"/>
      <c r="E57" s="264">
        <v>0</v>
      </c>
      <c r="F57" s="275"/>
      <c r="G57" s="277"/>
      <c r="H57" s="264"/>
      <c r="I57" s="271"/>
      <c r="J57" s="266"/>
    </row>
    <row r="58" spans="2:10" x14ac:dyDescent="0.25">
      <c r="B58" s="265"/>
      <c r="C58" s="266"/>
      <c r="D58" s="268"/>
      <c r="E58" s="267"/>
      <c r="F58" s="270"/>
      <c r="G58" s="272">
        <f>SUM(G20:G56)</f>
        <v>72.110562500000015</v>
      </c>
      <c r="H58" s="265"/>
      <c r="I58" s="270"/>
      <c r="J58" s="258"/>
    </row>
    <row r="59" spans="2:10" ht="15.75" thickBot="1" x14ac:dyDescent="0.3">
      <c r="B59" s="260"/>
      <c r="C59" s="262"/>
      <c r="D59" s="269"/>
      <c r="E59" s="264"/>
      <c r="F59" s="271"/>
      <c r="G59" s="273"/>
      <c r="H59" s="264"/>
      <c r="I59" s="271"/>
      <c r="J59" s="259"/>
    </row>
    <row r="60" spans="2:10" ht="15.75" thickBot="1" x14ac:dyDescent="0.3">
      <c r="B60" s="261"/>
      <c r="C60" s="263"/>
      <c r="D60" s="105"/>
      <c r="E60" s="261"/>
      <c r="F60" s="106"/>
      <c r="G60" s="107"/>
      <c r="H60" s="261"/>
      <c r="I60" s="106"/>
      <c r="J60" s="107"/>
    </row>
    <row r="61" spans="2:10" x14ac:dyDescent="0.25">
      <c r="B61" s="108"/>
      <c r="C61" s="108"/>
      <c r="D61" s="108"/>
      <c r="E61" s="108"/>
      <c r="F61" s="108"/>
      <c r="G61" s="108"/>
      <c r="H61" s="108"/>
      <c r="I61" s="108"/>
      <c r="J61" s="108"/>
    </row>
    <row r="159" spans="2:5" x14ac:dyDescent="0.25">
      <c r="B159" s="212"/>
      <c r="C159" s="212"/>
      <c r="D159" s="212"/>
      <c r="E159" s="212"/>
    </row>
    <row r="170" spans="3:5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mergeCells count="186">
    <mergeCell ref="B14:C16"/>
    <mergeCell ref="D14:D17"/>
    <mergeCell ref="E14:G14"/>
    <mergeCell ref="H14:J14"/>
    <mergeCell ref="E15:G16"/>
    <mergeCell ref="H15:J16"/>
    <mergeCell ref="B21:B22"/>
    <mergeCell ref="C21:C22"/>
    <mergeCell ref="E21:E22"/>
    <mergeCell ref="H21:H22"/>
    <mergeCell ref="D22:D23"/>
    <mergeCell ref="F22:F23"/>
    <mergeCell ref="G22:G23"/>
    <mergeCell ref="I22:I23"/>
    <mergeCell ref="D20:D21"/>
    <mergeCell ref="F20:F21"/>
    <mergeCell ref="G20:G21"/>
    <mergeCell ref="I20:I21"/>
    <mergeCell ref="J20:J21"/>
    <mergeCell ref="J22:J23"/>
    <mergeCell ref="B23:B24"/>
    <mergeCell ref="C23:C24"/>
    <mergeCell ref="E23:E24"/>
    <mergeCell ref="H23:H24"/>
    <mergeCell ref="F26:F27"/>
    <mergeCell ref="G26:G27"/>
    <mergeCell ref="I26:I27"/>
    <mergeCell ref="D24:D25"/>
    <mergeCell ref="F24:F25"/>
    <mergeCell ref="G24:G25"/>
    <mergeCell ref="I24:I25"/>
    <mergeCell ref="J24:J25"/>
    <mergeCell ref="B25:B26"/>
    <mergeCell ref="C25:C26"/>
    <mergeCell ref="E25:E26"/>
    <mergeCell ref="H25:H26"/>
    <mergeCell ref="J26:J27"/>
    <mergeCell ref="J28:J29"/>
    <mergeCell ref="B29:B30"/>
    <mergeCell ref="C29:C30"/>
    <mergeCell ref="E29:E30"/>
    <mergeCell ref="H29:H30"/>
    <mergeCell ref="D30:D31"/>
    <mergeCell ref="F30:F31"/>
    <mergeCell ref="G30:G31"/>
    <mergeCell ref="I30:I31"/>
    <mergeCell ref="J30:J31"/>
    <mergeCell ref="B31:B32"/>
    <mergeCell ref="C31:C32"/>
    <mergeCell ref="E31:E32"/>
    <mergeCell ref="H31:H32"/>
    <mergeCell ref="J32:J33"/>
    <mergeCell ref="B27:B28"/>
    <mergeCell ref="C27:C28"/>
    <mergeCell ref="E27:E28"/>
    <mergeCell ref="H27:H28"/>
    <mergeCell ref="D28:D29"/>
    <mergeCell ref="F28:F29"/>
    <mergeCell ref="G28:G29"/>
    <mergeCell ref="I28:I29"/>
    <mergeCell ref="D26:D27"/>
    <mergeCell ref="B33:B34"/>
    <mergeCell ref="C33:C34"/>
    <mergeCell ref="E33:E34"/>
    <mergeCell ref="H33:H34"/>
    <mergeCell ref="D34:D35"/>
    <mergeCell ref="F34:F35"/>
    <mergeCell ref="G34:G35"/>
    <mergeCell ref="I34:I35"/>
    <mergeCell ref="D32:D33"/>
    <mergeCell ref="F32:F33"/>
    <mergeCell ref="G32:G33"/>
    <mergeCell ref="I32:I33"/>
    <mergeCell ref="B35:B36"/>
    <mergeCell ref="C35:C36"/>
    <mergeCell ref="E35:E36"/>
    <mergeCell ref="H35:H36"/>
    <mergeCell ref="D36:D37"/>
    <mergeCell ref="F36:F37"/>
    <mergeCell ref="G36:G37"/>
    <mergeCell ref="I36:I37"/>
    <mergeCell ref="J36:J37"/>
    <mergeCell ref="B37:B38"/>
    <mergeCell ref="C37:C38"/>
    <mergeCell ref="E37:E38"/>
    <mergeCell ref="H37:H38"/>
    <mergeCell ref="J38:J39"/>
    <mergeCell ref="D40:D41"/>
    <mergeCell ref="F40:F41"/>
    <mergeCell ref="G40:G41"/>
    <mergeCell ref="I40:I41"/>
    <mergeCell ref="D38:D39"/>
    <mergeCell ref="F38:F39"/>
    <mergeCell ref="G38:G39"/>
    <mergeCell ref="I38:I39"/>
    <mergeCell ref="H39:H40"/>
    <mergeCell ref="J34:J35"/>
    <mergeCell ref="I46:I47"/>
    <mergeCell ref="D44:D45"/>
    <mergeCell ref="F44:F45"/>
    <mergeCell ref="G44:G45"/>
    <mergeCell ref="I44:I45"/>
    <mergeCell ref="J40:J41"/>
    <mergeCell ref="B41:B42"/>
    <mergeCell ref="C41:C42"/>
    <mergeCell ref="E41:E42"/>
    <mergeCell ref="H41:H42"/>
    <mergeCell ref="D42:D43"/>
    <mergeCell ref="F42:F43"/>
    <mergeCell ref="G42:G43"/>
    <mergeCell ref="I42:I43"/>
    <mergeCell ref="J42:J43"/>
    <mergeCell ref="B43:B44"/>
    <mergeCell ref="C43:C44"/>
    <mergeCell ref="E43:E44"/>
    <mergeCell ref="H43:H44"/>
    <mergeCell ref="J44:J45"/>
    <mergeCell ref="B39:B40"/>
    <mergeCell ref="C39:C40"/>
    <mergeCell ref="E39:E40"/>
    <mergeCell ref="G50:G51"/>
    <mergeCell ref="I50:I51"/>
    <mergeCell ref="J46:J47"/>
    <mergeCell ref="B47:B48"/>
    <mergeCell ref="C47:C48"/>
    <mergeCell ref="E47:E48"/>
    <mergeCell ref="H47:H48"/>
    <mergeCell ref="D48:D49"/>
    <mergeCell ref="F48:F49"/>
    <mergeCell ref="G48:G49"/>
    <mergeCell ref="I48:I49"/>
    <mergeCell ref="J48:J49"/>
    <mergeCell ref="B49:B50"/>
    <mergeCell ref="C49:C50"/>
    <mergeCell ref="E49:E50"/>
    <mergeCell ref="H49:H50"/>
    <mergeCell ref="J50:J51"/>
    <mergeCell ref="B45:B46"/>
    <mergeCell ref="C45:C46"/>
    <mergeCell ref="E45:E46"/>
    <mergeCell ref="H45:H46"/>
    <mergeCell ref="D46:D47"/>
    <mergeCell ref="F46:F47"/>
    <mergeCell ref="G46:G47"/>
    <mergeCell ref="J52:J53"/>
    <mergeCell ref="B53:B54"/>
    <mergeCell ref="C53:C54"/>
    <mergeCell ref="E53:E54"/>
    <mergeCell ref="H53:H54"/>
    <mergeCell ref="D54:D55"/>
    <mergeCell ref="F54:F55"/>
    <mergeCell ref="G54:G55"/>
    <mergeCell ref="I54:I55"/>
    <mergeCell ref="J54:J55"/>
    <mergeCell ref="B55:B56"/>
    <mergeCell ref="C55:C56"/>
    <mergeCell ref="E55:E56"/>
    <mergeCell ref="H55:H56"/>
    <mergeCell ref="E51:E52"/>
    <mergeCell ref="H51:H52"/>
    <mergeCell ref="B51:B52"/>
    <mergeCell ref="C51:C52"/>
    <mergeCell ref="D52:D53"/>
    <mergeCell ref="F52:F53"/>
    <mergeCell ref="G52:G53"/>
    <mergeCell ref="I52:I53"/>
    <mergeCell ref="D50:D51"/>
    <mergeCell ref="F50:F51"/>
    <mergeCell ref="J58:J59"/>
    <mergeCell ref="B59:B60"/>
    <mergeCell ref="C59:C60"/>
    <mergeCell ref="E59:E60"/>
    <mergeCell ref="H59:H60"/>
    <mergeCell ref="B57:B58"/>
    <mergeCell ref="C57:C58"/>
    <mergeCell ref="E57:E58"/>
    <mergeCell ref="H57:H58"/>
    <mergeCell ref="D58:D59"/>
    <mergeCell ref="F58:F59"/>
    <mergeCell ref="G58:G59"/>
    <mergeCell ref="I58:I59"/>
    <mergeCell ref="D56:D57"/>
    <mergeCell ref="F56:F57"/>
    <mergeCell ref="G56:G57"/>
    <mergeCell ref="I56:I57"/>
    <mergeCell ref="J56:J5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&amp;L&amp;F&amp;C&amp;A&amp;R&amp;P/&amp;N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4"/>
  <sheetViews>
    <sheetView workbookViewId="0">
      <selection activeCell="D260" sqref="D238:D260"/>
    </sheetView>
  </sheetViews>
  <sheetFormatPr defaultRowHeight="15" x14ac:dyDescent="0.25"/>
  <cols>
    <col min="1" max="1" width="2.85546875" customWidth="1"/>
    <col min="2" max="2" width="4.140625" customWidth="1"/>
    <col min="3" max="3" width="8.140625" bestFit="1" customWidth="1"/>
    <col min="4" max="4" width="6" customWidth="1"/>
    <col min="5" max="5" width="7.42578125" customWidth="1"/>
    <col min="6" max="6" width="6.7109375" customWidth="1"/>
    <col min="7" max="7" width="8.7109375" customWidth="1"/>
    <col min="8" max="8" width="7.5703125" customWidth="1"/>
    <col min="9" max="9" width="6.85546875" style="1" customWidth="1"/>
    <col min="10" max="10" width="8.5703125" style="1" customWidth="1"/>
    <col min="11" max="11" width="7.7109375" customWidth="1"/>
    <col min="12" max="12" width="6.85546875" customWidth="1"/>
    <col min="13" max="14" width="8.42578125" customWidth="1"/>
    <col min="15" max="15" width="11.42578125" bestFit="1" customWidth="1"/>
    <col min="17" max="17" width="11.42578125" bestFit="1" customWidth="1"/>
    <col min="19" max="19" width="11.28515625" customWidth="1"/>
  </cols>
  <sheetData>
    <row r="1" spans="1:20" s="1" customFormat="1" x14ac:dyDescent="0.25"/>
    <row r="2" spans="1:20" s="1" customFormat="1" ht="15.75" x14ac:dyDescent="0.25">
      <c r="B2" s="2" t="s">
        <v>31</v>
      </c>
      <c r="C2" s="45"/>
    </row>
    <row r="3" spans="1:20" s="1" customFormat="1" ht="15.75" x14ac:dyDescent="0.25">
      <c r="B3" s="2" t="s">
        <v>32</v>
      </c>
      <c r="C3" s="45"/>
    </row>
    <row r="4" spans="1:20" s="1" customFormat="1" ht="15.75" x14ac:dyDescent="0.25">
      <c r="B4" s="2"/>
    </row>
    <row r="5" spans="1:20" s="1" customFormat="1" ht="15.75" x14ac:dyDescent="0.25">
      <c r="B5" s="4" t="s">
        <v>30</v>
      </c>
    </row>
    <row r="6" spans="1:20" s="1" customFormat="1" x14ac:dyDescent="0.25">
      <c r="B6" s="5" t="s">
        <v>124</v>
      </c>
    </row>
    <row r="7" spans="1:20" s="1" customFormat="1" x14ac:dyDescent="0.25">
      <c r="B7" s="6" t="s">
        <v>1</v>
      </c>
    </row>
    <row r="8" spans="1:20" s="1" customFormat="1" x14ac:dyDescent="0.25">
      <c r="B8" s="6" t="s">
        <v>2</v>
      </c>
    </row>
    <row r="9" spans="1:20" s="1" customFormat="1" x14ac:dyDescent="0.25">
      <c r="B9" s="7" t="s">
        <v>284</v>
      </c>
    </row>
    <row r="10" spans="1:20" s="1" customFormat="1" ht="8.25" customHeight="1" thickBot="1" x14ac:dyDescent="0.3">
      <c r="B10" s="9"/>
      <c r="C10" s="9"/>
      <c r="D10" s="9"/>
      <c r="E10" s="10"/>
      <c r="F10" s="12"/>
      <c r="G10" s="9"/>
      <c r="H10" s="12"/>
      <c r="I10" s="9"/>
      <c r="J10" s="12"/>
      <c r="K10" s="9"/>
      <c r="L10" s="12"/>
      <c r="M10" s="9"/>
      <c r="N10" s="13"/>
      <c r="O10" s="11"/>
      <c r="P10" s="12"/>
      <c r="Q10" s="9"/>
      <c r="R10" s="12"/>
      <c r="S10" s="9"/>
      <c r="T10" s="12"/>
    </row>
    <row r="11" spans="1:20" s="1" customFormat="1" ht="15.75" thickBot="1" x14ac:dyDescent="0.3">
      <c r="B11" s="320" t="s">
        <v>22</v>
      </c>
      <c r="C11" s="321"/>
      <c r="D11" s="324" t="s">
        <v>21</v>
      </c>
      <c r="E11" s="326" t="s">
        <v>233</v>
      </c>
      <c r="F11" s="326"/>
      <c r="G11" s="326"/>
      <c r="H11" s="326" t="s">
        <v>234</v>
      </c>
      <c r="I11" s="326"/>
      <c r="J11" s="326"/>
      <c r="K11" s="326" t="s">
        <v>235</v>
      </c>
      <c r="L11" s="326"/>
      <c r="M11" s="326"/>
      <c r="N11" s="13"/>
      <c r="O11" s="11"/>
      <c r="P11" s="12"/>
      <c r="Q11" s="9"/>
      <c r="R11" s="12"/>
      <c r="S11" s="9"/>
      <c r="T11" s="12"/>
    </row>
    <row r="12" spans="1:20" s="1" customFormat="1" ht="19.5" customHeight="1" thickBot="1" x14ac:dyDescent="0.3">
      <c r="B12" s="322"/>
      <c r="C12" s="323"/>
      <c r="D12" s="324"/>
      <c r="E12" s="326" t="s">
        <v>15</v>
      </c>
      <c r="F12" s="326"/>
      <c r="G12" s="326"/>
      <c r="H12" s="326" t="s">
        <v>107</v>
      </c>
      <c r="I12" s="326"/>
      <c r="J12" s="326"/>
      <c r="K12" s="326" t="s">
        <v>28</v>
      </c>
      <c r="L12" s="326"/>
      <c r="M12" s="326"/>
      <c r="N12" s="13"/>
      <c r="O12" s="11"/>
      <c r="P12" s="12"/>
      <c r="Q12" s="9"/>
      <c r="R12" s="12"/>
      <c r="S12" s="9"/>
      <c r="T12" s="12"/>
    </row>
    <row r="13" spans="1:20" s="1" customFormat="1" ht="23.25" customHeight="1" x14ac:dyDescent="0.25">
      <c r="B13" s="14" t="s">
        <v>17</v>
      </c>
      <c r="C13" s="14" t="s">
        <v>18</v>
      </c>
      <c r="D13" s="325"/>
      <c r="E13" s="15" t="s">
        <v>23</v>
      </c>
      <c r="F13" s="16" t="s">
        <v>24</v>
      </c>
      <c r="G13" s="15" t="s">
        <v>25</v>
      </c>
      <c r="H13" s="15" t="s">
        <v>23</v>
      </c>
      <c r="I13" s="16" t="s">
        <v>24</v>
      </c>
      <c r="J13" s="15" t="s">
        <v>25</v>
      </c>
      <c r="K13" s="15" t="s">
        <v>23</v>
      </c>
      <c r="L13" s="16" t="s">
        <v>24</v>
      </c>
      <c r="M13" s="15" t="s">
        <v>25</v>
      </c>
      <c r="N13" s="13"/>
      <c r="O13" s="11"/>
      <c r="P13" s="12"/>
      <c r="Q13" s="9"/>
      <c r="R13" s="12"/>
      <c r="S13" s="9"/>
      <c r="T13" s="12"/>
    </row>
    <row r="14" spans="1:20" s="1" customFormat="1" ht="15.75" thickBot="1" x14ac:dyDescent="0.3">
      <c r="B14" s="17"/>
      <c r="C14" s="18" t="s">
        <v>13</v>
      </c>
      <c r="D14" s="19" t="s">
        <v>11</v>
      </c>
      <c r="E14" s="18" t="s">
        <v>26</v>
      </c>
      <c r="F14" s="71" t="s">
        <v>26</v>
      </c>
      <c r="G14" s="18" t="s">
        <v>27</v>
      </c>
      <c r="H14" s="18" t="s">
        <v>26</v>
      </c>
      <c r="I14" s="71" t="s">
        <v>26</v>
      </c>
      <c r="J14" s="18" t="s">
        <v>27</v>
      </c>
      <c r="K14" s="18" t="s">
        <v>11</v>
      </c>
      <c r="L14" s="71" t="s">
        <v>11</v>
      </c>
      <c r="M14" s="71" t="s">
        <v>26</v>
      </c>
      <c r="N14" s="13"/>
      <c r="O14" s="11"/>
      <c r="P14" s="12"/>
      <c r="Q14" s="9"/>
      <c r="R14" s="12"/>
      <c r="S14" s="9"/>
      <c r="T14" s="12"/>
    </row>
    <row r="15" spans="1:20" ht="15" customHeight="1" x14ac:dyDescent="0.25">
      <c r="A15" s="1"/>
      <c r="B15" s="20" t="s">
        <v>125</v>
      </c>
      <c r="C15" s="21"/>
      <c r="D15" s="21"/>
      <c r="E15" s="21"/>
      <c r="F15" s="21"/>
      <c r="G15" s="21"/>
      <c r="H15" s="21"/>
      <c r="I15" s="21"/>
      <c r="J15" s="21"/>
      <c r="K15" s="22"/>
      <c r="L15" s="22"/>
      <c r="M15" s="23"/>
    </row>
    <row r="16" spans="1:20" ht="15" customHeight="1" x14ac:dyDescent="0.25">
      <c r="A16" s="1"/>
      <c r="B16" s="314" t="s">
        <v>95</v>
      </c>
      <c r="C16" s="313">
        <v>0.36765999999999999</v>
      </c>
      <c r="D16" s="305">
        <f>(C16-C18)*1000</f>
        <v>31.849999999999991</v>
      </c>
      <c r="E16" s="305">
        <v>24.7</v>
      </c>
      <c r="F16" s="307">
        <f>(E16+E18)/2</f>
        <v>17.614999999999998</v>
      </c>
      <c r="G16" s="307">
        <f>F16*D16</f>
        <v>561.03774999999973</v>
      </c>
      <c r="H16" s="305">
        <v>1.4</v>
      </c>
      <c r="I16" s="307">
        <f>(H16+H18)/2</f>
        <v>1</v>
      </c>
      <c r="J16" s="307">
        <f>I16*D16</f>
        <v>31.849999999999991</v>
      </c>
      <c r="K16" s="305">
        <v>1.85</v>
      </c>
      <c r="L16" s="307">
        <f>(K16+K18)/2</f>
        <v>1.55</v>
      </c>
      <c r="M16" s="327">
        <f>L16*D16</f>
        <v>49.367499999999986</v>
      </c>
    </row>
    <row r="17" spans="1:13" ht="15" customHeight="1" x14ac:dyDescent="0.25">
      <c r="A17" s="1"/>
      <c r="B17" s="314"/>
      <c r="C17" s="313"/>
      <c r="D17" s="305"/>
      <c r="E17" s="305"/>
      <c r="F17" s="318"/>
      <c r="G17" s="318"/>
      <c r="H17" s="305"/>
      <c r="I17" s="318"/>
      <c r="J17" s="318"/>
      <c r="K17" s="305"/>
      <c r="L17" s="318"/>
      <c r="M17" s="328"/>
    </row>
    <row r="18" spans="1:13" ht="15" customHeight="1" x14ac:dyDescent="0.25">
      <c r="A18" s="1"/>
      <c r="B18" s="314" t="s">
        <v>94</v>
      </c>
      <c r="C18" s="313">
        <v>0.33581</v>
      </c>
      <c r="D18" s="305"/>
      <c r="E18" s="305">
        <v>10.53</v>
      </c>
      <c r="F18" s="308"/>
      <c r="G18" s="308"/>
      <c r="H18" s="305">
        <v>0.6</v>
      </c>
      <c r="I18" s="308"/>
      <c r="J18" s="308"/>
      <c r="K18" s="305">
        <f>1.25</f>
        <v>1.25</v>
      </c>
      <c r="L18" s="308"/>
      <c r="M18" s="329"/>
    </row>
    <row r="19" spans="1:13" s="1" customFormat="1" ht="15" customHeight="1" x14ac:dyDescent="0.25">
      <c r="B19" s="314"/>
      <c r="C19" s="313"/>
      <c r="D19" s="33"/>
      <c r="E19" s="305"/>
      <c r="F19" s="32"/>
      <c r="G19" s="32"/>
      <c r="H19" s="305"/>
      <c r="I19" s="32"/>
      <c r="J19" s="32"/>
      <c r="K19" s="305">
        <f t="shared" ref="K19" si="0">0.6+0.6</f>
        <v>1.2</v>
      </c>
      <c r="L19" s="32"/>
      <c r="M19" s="25"/>
    </row>
    <row r="20" spans="1:13" s="1" customFormat="1" ht="15" customHeight="1" x14ac:dyDescent="0.25">
      <c r="B20" s="26" t="s">
        <v>96</v>
      </c>
      <c r="C20" s="24"/>
      <c r="D20" s="32"/>
      <c r="E20" s="32"/>
      <c r="F20" s="32"/>
      <c r="G20" s="32"/>
      <c r="H20" s="32"/>
      <c r="I20" s="32"/>
      <c r="J20" s="32"/>
      <c r="K20" s="32"/>
      <c r="L20" s="32"/>
      <c r="M20" s="25"/>
    </row>
    <row r="21" spans="1:13" s="1" customFormat="1" ht="15" customHeight="1" x14ac:dyDescent="0.25">
      <c r="B21" s="319" t="s">
        <v>94</v>
      </c>
      <c r="C21" s="313">
        <f>C18</f>
        <v>0.33581</v>
      </c>
      <c r="D21" s="33"/>
      <c r="E21" s="305">
        <v>10.53</v>
      </c>
      <c r="F21" s="33"/>
      <c r="G21" s="33"/>
      <c r="H21" s="305">
        <v>0.6</v>
      </c>
      <c r="I21" s="33"/>
      <c r="J21" s="33"/>
      <c r="K21" s="305">
        <v>1.25</v>
      </c>
      <c r="L21" s="33"/>
      <c r="M21" s="56"/>
    </row>
    <row r="22" spans="1:13" s="1" customFormat="1" ht="15" customHeight="1" x14ac:dyDescent="0.25">
      <c r="B22" s="319"/>
      <c r="C22" s="313"/>
      <c r="D22" s="305">
        <f>(C21-C23)*1000</f>
        <v>12.000000000000011</v>
      </c>
      <c r="E22" s="305"/>
      <c r="F22" s="305">
        <f>(E21+E23)/2</f>
        <v>15.815000000000001</v>
      </c>
      <c r="G22" s="305">
        <f>F22*D22</f>
        <v>189.78000000000017</v>
      </c>
      <c r="H22" s="305"/>
      <c r="I22" s="305">
        <f>(H21+H23)/2</f>
        <v>4.2</v>
      </c>
      <c r="J22" s="305">
        <f>I22*D22</f>
        <v>50.400000000000048</v>
      </c>
      <c r="K22" s="305"/>
      <c r="L22" s="305">
        <f>(K21+K23)/2</f>
        <v>5.25</v>
      </c>
      <c r="M22" s="306">
        <f>L22*D22</f>
        <v>63.000000000000057</v>
      </c>
    </row>
    <row r="23" spans="1:13" s="1" customFormat="1" ht="15" customHeight="1" x14ac:dyDescent="0.25">
      <c r="B23" s="314" t="s">
        <v>97</v>
      </c>
      <c r="C23" s="313">
        <v>0.32380999999999999</v>
      </c>
      <c r="D23" s="305"/>
      <c r="E23" s="305">
        <v>21.1</v>
      </c>
      <c r="F23" s="305"/>
      <c r="G23" s="305"/>
      <c r="H23" s="305">
        <f>0.85+6.95</f>
        <v>7.8</v>
      </c>
      <c r="I23" s="305"/>
      <c r="J23" s="305"/>
      <c r="K23" s="305">
        <f>1.25+8</f>
        <v>9.25</v>
      </c>
      <c r="L23" s="305"/>
      <c r="M23" s="306"/>
    </row>
    <row r="24" spans="1:13" s="1" customFormat="1" ht="15" customHeight="1" x14ac:dyDescent="0.25">
      <c r="B24" s="314"/>
      <c r="C24" s="313"/>
      <c r="D24" s="305">
        <f>(C23-C25)*1000</f>
        <v>13.669999999999959</v>
      </c>
      <c r="E24" s="305"/>
      <c r="F24" s="305">
        <f>(E23+E25)/2</f>
        <v>15.8</v>
      </c>
      <c r="G24" s="305">
        <f t="shared" ref="G24" si="1">F24*D24</f>
        <v>215.98599999999936</v>
      </c>
      <c r="H24" s="305"/>
      <c r="I24" s="305">
        <f>(H23+H25)/2</f>
        <v>7.1349999999999998</v>
      </c>
      <c r="J24" s="305">
        <f>I24*D24</f>
        <v>97.535449999999699</v>
      </c>
      <c r="K24" s="305"/>
      <c r="L24" s="305">
        <f t="shared" ref="L24" si="2">(K23+K25)/2</f>
        <v>9.25</v>
      </c>
      <c r="M24" s="306">
        <f t="shared" ref="M24" si="3">L24*D24</f>
        <v>126.44749999999962</v>
      </c>
    </row>
    <row r="25" spans="1:13" s="1" customFormat="1" ht="15" customHeight="1" x14ac:dyDescent="0.25">
      <c r="B25" s="314" t="s">
        <v>98</v>
      </c>
      <c r="C25" s="313">
        <v>0.31014000000000003</v>
      </c>
      <c r="D25" s="305"/>
      <c r="E25" s="305">
        <v>10.5</v>
      </c>
      <c r="F25" s="305"/>
      <c r="G25" s="305"/>
      <c r="H25" s="305">
        <f>0.87+5.6</f>
        <v>6.47</v>
      </c>
      <c r="I25" s="305"/>
      <c r="J25" s="305"/>
      <c r="K25" s="305">
        <v>9.25</v>
      </c>
      <c r="L25" s="305"/>
      <c r="M25" s="306"/>
    </row>
    <row r="26" spans="1:13" s="1" customFormat="1" ht="15" customHeight="1" x14ac:dyDescent="0.25">
      <c r="B26" s="314"/>
      <c r="C26" s="313"/>
      <c r="D26" s="305">
        <f>(C25-C27)*1000</f>
        <v>10.260000000000048</v>
      </c>
      <c r="E26" s="305"/>
      <c r="F26" s="305">
        <f>(E25+E27)/2</f>
        <v>10.5</v>
      </c>
      <c r="G26" s="305">
        <f t="shared" ref="G26" si="4">F26*D26</f>
        <v>107.7300000000005</v>
      </c>
      <c r="H26" s="305"/>
      <c r="I26" s="305">
        <f>(H25+H27)/2</f>
        <v>7.17</v>
      </c>
      <c r="J26" s="305">
        <f>I26*D26</f>
        <v>73.564200000000341</v>
      </c>
      <c r="K26" s="305"/>
      <c r="L26" s="305">
        <f t="shared" ref="L26" si="5">(K25+K27)/2</f>
        <v>9.75</v>
      </c>
      <c r="M26" s="306">
        <f>L26*D26</f>
        <v>100.03500000000047</v>
      </c>
    </row>
    <row r="27" spans="1:13" s="1" customFormat="1" ht="15" customHeight="1" x14ac:dyDescent="0.25">
      <c r="B27" s="315" t="s">
        <v>99</v>
      </c>
      <c r="C27" s="313">
        <v>0.29987999999999998</v>
      </c>
      <c r="D27" s="305"/>
      <c r="E27" s="305">
        <v>10.5</v>
      </c>
      <c r="F27" s="305"/>
      <c r="G27" s="305"/>
      <c r="H27" s="305">
        <f>0.87+7</f>
        <v>7.87</v>
      </c>
      <c r="I27" s="305"/>
      <c r="J27" s="305"/>
      <c r="K27" s="305">
        <f>1.25+9</f>
        <v>10.25</v>
      </c>
      <c r="L27" s="305"/>
      <c r="M27" s="306"/>
    </row>
    <row r="28" spans="1:13" s="1" customFormat="1" ht="15" customHeight="1" x14ac:dyDescent="0.25">
      <c r="B28" s="315"/>
      <c r="C28" s="313"/>
      <c r="D28" s="33"/>
      <c r="E28" s="305"/>
      <c r="F28" s="33"/>
      <c r="G28" s="33"/>
      <c r="H28" s="305"/>
      <c r="I28" s="33"/>
      <c r="J28" s="33"/>
      <c r="K28" s="305"/>
      <c r="L28" s="33"/>
      <c r="M28" s="56"/>
    </row>
    <row r="29" spans="1:13" s="1" customFormat="1" ht="15" customHeight="1" x14ac:dyDescent="0.25">
      <c r="B29" s="26" t="s">
        <v>106</v>
      </c>
      <c r="C29" s="24"/>
      <c r="D29" s="32"/>
      <c r="E29" s="32"/>
      <c r="F29" s="32"/>
      <c r="G29" s="32"/>
      <c r="H29" s="32"/>
      <c r="I29" s="32"/>
      <c r="J29" s="32"/>
      <c r="K29" s="32"/>
      <c r="L29" s="32"/>
      <c r="M29" s="25"/>
    </row>
    <row r="30" spans="1:13" s="1" customFormat="1" ht="15" customHeight="1" x14ac:dyDescent="0.25">
      <c r="B30" s="310" t="s">
        <v>99</v>
      </c>
      <c r="C30" s="311">
        <v>0.29987999999999998</v>
      </c>
      <c r="D30" s="34"/>
      <c r="E30" s="309">
        <v>6.6</v>
      </c>
      <c r="F30" s="33"/>
      <c r="G30" s="33"/>
      <c r="H30" s="309">
        <v>0.6</v>
      </c>
      <c r="I30" s="35"/>
      <c r="J30" s="35"/>
      <c r="K30" s="309">
        <f>2.6+2</f>
        <v>4.5999999999999996</v>
      </c>
      <c r="L30" s="35"/>
      <c r="M30" s="57"/>
    </row>
    <row r="31" spans="1:13" s="1" customFormat="1" ht="15" customHeight="1" x14ac:dyDescent="0.25">
      <c r="B31" s="310"/>
      <c r="C31" s="311"/>
      <c r="D31" s="305">
        <f>(C30-C32)*1000</f>
        <v>10.709999999999997</v>
      </c>
      <c r="E31" s="309"/>
      <c r="F31" s="307">
        <f>(E30+E32)/2</f>
        <v>6.6</v>
      </c>
      <c r="G31" s="305">
        <f>D31*F31</f>
        <v>70.685999999999979</v>
      </c>
      <c r="H31" s="309"/>
      <c r="I31" s="307">
        <f>(H30+H32)/2</f>
        <v>0.6</v>
      </c>
      <c r="J31" s="305">
        <f>D31*I31</f>
        <v>6.4259999999999984</v>
      </c>
      <c r="K31" s="309"/>
      <c r="L31" s="307">
        <f>(K30+K32)/2</f>
        <v>4.5999999999999996</v>
      </c>
      <c r="M31" s="327">
        <f>L31*D31</f>
        <v>49.265999999999984</v>
      </c>
    </row>
    <row r="32" spans="1:13" s="1" customFormat="1" ht="15" customHeight="1" x14ac:dyDescent="0.25">
      <c r="B32" s="314" t="s">
        <v>100</v>
      </c>
      <c r="C32" s="311">
        <v>0.28916999999999998</v>
      </c>
      <c r="D32" s="305"/>
      <c r="E32" s="305">
        <v>6.6</v>
      </c>
      <c r="F32" s="308"/>
      <c r="G32" s="305"/>
      <c r="H32" s="305">
        <v>0.6</v>
      </c>
      <c r="I32" s="308"/>
      <c r="J32" s="305"/>
      <c r="K32" s="305">
        <f>2.6+2</f>
        <v>4.5999999999999996</v>
      </c>
      <c r="L32" s="308"/>
      <c r="M32" s="329"/>
    </row>
    <row r="33" spans="2:13" s="1" customFormat="1" ht="15" customHeight="1" x14ac:dyDescent="0.25">
      <c r="B33" s="314"/>
      <c r="C33" s="311"/>
      <c r="D33" s="305">
        <f>(C32-C34)*1000</f>
        <v>17.999999999999961</v>
      </c>
      <c r="E33" s="305"/>
      <c r="F33" s="307">
        <f>(E32+E34)/2</f>
        <v>7.9749999999999996</v>
      </c>
      <c r="G33" s="305">
        <f t="shared" ref="G33" si="6">D33*F33</f>
        <v>143.54999999999967</v>
      </c>
      <c r="H33" s="305"/>
      <c r="I33" s="307">
        <f>(H32+H34)/2</f>
        <v>1.8149999999999999</v>
      </c>
      <c r="J33" s="305">
        <f>D33*I33</f>
        <v>32.669999999999931</v>
      </c>
      <c r="K33" s="305">
        <f t="shared" ref="K33" si="7">0.6+0.6</f>
        <v>1.2</v>
      </c>
      <c r="L33" s="307">
        <f t="shared" ref="L33" si="8">(K32+K34)/2</f>
        <v>3.9749999999999996</v>
      </c>
      <c r="M33" s="327">
        <f>L33*D33</f>
        <v>71.549999999999841</v>
      </c>
    </row>
    <row r="34" spans="2:13" s="1" customFormat="1" ht="15" customHeight="1" x14ac:dyDescent="0.25">
      <c r="B34" s="314" t="s">
        <v>101</v>
      </c>
      <c r="C34" s="311">
        <v>0.27117000000000002</v>
      </c>
      <c r="D34" s="305"/>
      <c r="E34" s="309">
        <v>9.35</v>
      </c>
      <c r="F34" s="308"/>
      <c r="G34" s="305"/>
      <c r="H34" s="305">
        <v>3.03</v>
      </c>
      <c r="I34" s="308"/>
      <c r="J34" s="305"/>
      <c r="K34" s="305">
        <f>2.15+1.2</f>
        <v>3.3499999999999996</v>
      </c>
      <c r="L34" s="308"/>
      <c r="M34" s="329"/>
    </row>
    <row r="35" spans="2:13" s="1" customFormat="1" ht="15" customHeight="1" x14ac:dyDescent="0.25">
      <c r="B35" s="314"/>
      <c r="C35" s="311"/>
      <c r="D35" s="305">
        <f>(C34-C36)*1000</f>
        <v>12.000000000000011</v>
      </c>
      <c r="E35" s="309"/>
      <c r="F35" s="307">
        <f t="shared" ref="F35" si="9">(E34+E36)/2</f>
        <v>9.69</v>
      </c>
      <c r="G35" s="305">
        <f t="shared" ref="G35" si="10">D35*F35</f>
        <v>116.2800000000001</v>
      </c>
      <c r="H35" s="305"/>
      <c r="I35" s="307">
        <f t="shared" ref="I35" si="11">(H34+H36)/2</f>
        <v>2.9</v>
      </c>
      <c r="J35" s="305">
        <f t="shared" ref="J35" si="12">D35*I35</f>
        <v>34.800000000000033</v>
      </c>
      <c r="K35" s="305">
        <f t="shared" ref="K35" si="13">0.6+0.6</f>
        <v>1.2</v>
      </c>
      <c r="L35" s="307">
        <f t="shared" ref="L35" si="14">(K34+K36)/2</f>
        <v>3.4249999999999998</v>
      </c>
      <c r="M35" s="327">
        <f t="shared" ref="M35" si="15">L35*D35</f>
        <v>41.100000000000037</v>
      </c>
    </row>
    <row r="36" spans="2:13" s="1" customFormat="1" ht="15" customHeight="1" x14ac:dyDescent="0.25">
      <c r="B36" s="314" t="s">
        <v>102</v>
      </c>
      <c r="C36" s="311">
        <v>0.25917000000000001</v>
      </c>
      <c r="D36" s="305"/>
      <c r="E36" s="309">
        <v>10.029999999999999</v>
      </c>
      <c r="F36" s="308"/>
      <c r="G36" s="305"/>
      <c r="H36" s="305">
        <v>2.77</v>
      </c>
      <c r="I36" s="308"/>
      <c r="J36" s="305"/>
      <c r="K36" s="305">
        <f>3.5</f>
        <v>3.5</v>
      </c>
      <c r="L36" s="308"/>
      <c r="M36" s="329"/>
    </row>
    <row r="37" spans="2:13" s="1" customFormat="1" ht="15" customHeight="1" x14ac:dyDescent="0.25">
      <c r="B37" s="314"/>
      <c r="C37" s="311"/>
      <c r="D37" s="305">
        <f>(C36-C38)*1000</f>
        <v>24.000000000000021</v>
      </c>
      <c r="E37" s="309"/>
      <c r="F37" s="307">
        <f>(E36+E38)/2</f>
        <v>9.84</v>
      </c>
      <c r="G37" s="305">
        <f t="shared" ref="G37" si="16">D37*F37</f>
        <v>236.1600000000002</v>
      </c>
      <c r="H37" s="305"/>
      <c r="I37" s="307">
        <f>(H36+H38)/2</f>
        <v>1.5049999999999999</v>
      </c>
      <c r="J37" s="305">
        <f t="shared" ref="J37" si="17">D37*I37</f>
        <v>36.120000000000033</v>
      </c>
      <c r="K37" s="305">
        <f t="shared" ref="K37" si="18">0.6+0.6</f>
        <v>1.2</v>
      </c>
      <c r="L37" s="307">
        <f t="shared" ref="L37" si="19">(K36+K38)/2</f>
        <v>3.5</v>
      </c>
      <c r="M37" s="327">
        <f t="shared" ref="M37" si="20">L37*D37</f>
        <v>84.000000000000071</v>
      </c>
    </row>
    <row r="38" spans="2:13" s="1" customFormat="1" ht="15" customHeight="1" x14ac:dyDescent="0.25">
      <c r="B38" s="314" t="s">
        <v>103</v>
      </c>
      <c r="C38" s="313">
        <v>0.23516999999999999</v>
      </c>
      <c r="D38" s="305"/>
      <c r="E38" s="305">
        <v>9.65</v>
      </c>
      <c r="F38" s="308"/>
      <c r="G38" s="305"/>
      <c r="H38" s="305">
        <v>0.24</v>
      </c>
      <c r="I38" s="308"/>
      <c r="J38" s="305"/>
      <c r="K38" s="305">
        <v>3.5</v>
      </c>
      <c r="L38" s="308"/>
      <c r="M38" s="329"/>
    </row>
    <row r="39" spans="2:13" s="1" customFormat="1" ht="15" customHeight="1" x14ac:dyDescent="0.25">
      <c r="B39" s="314"/>
      <c r="C39" s="313"/>
      <c r="D39" s="305">
        <f>(C38-C40)*1000</f>
        <v>11.999999999999982</v>
      </c>
      <c r="E39" s="305"/>
      <c r="F39" s="307">
        <f t="shared" ref="F39" si="21">(E38+E40)/2</f>
        <v>9.1999999999999993</v>
      </c>
      <c r="G39" s="305">
        <f t="shared" ref="G39" si="22">D39*F39</f>
        <v>110.39999999999984</v>
      </c>
      <c r="H39" s="305"/>
      <c r="I39" s="307">
        <f t="shared" ref="I39" si="23">(H38+H40)/2</f>
        <v>0.12</v>
      </c>
      <c r="J39" s="305">
        <f t="shared" ref="J39" si="24">D39*I39</f>
        <v>1.4399999999999977</v>
      </c>
      <c r="K39" s="305">
        <f t="shared" ref="K39" si="25">0.6+0.6</f>
        <v>1.2</v>
      </c>
      <c r="L39" s="307">
        <f t="shared" ref="L39" si="26">(K38+K40)/2</f>
        <v>3.5</v>
      </c>
      <c r="M39" s="327">
        <f t="shared" ref="M39" si="27">L39*D39</f>
        <v>41.999999999999936</v>
      </c>
    </row>
    <row r="40" spans="2:13" s="1" customFormat="1" ht="15" customHeight="1" x14ac:dyDescent="0.25">
      <c r="B40" s="314" t="s">
        <v>104</v>
      </c>
      <c r="C40" s="313">
        <v>0.22317000000000001</v>
      </c>
      <c r="D40" s="305"/>
      <c r="E40" s="305">
        <v>8.75</v>
      </c>
      <c r="F40" s="308"/>
      <c r="G40" s="305"/>
      <c r="H40" s="305">
        <v>0</v>
      </c>
      <c r="I40" s="308"/>
      <c r="J40" s="305"/>
      <c r="K40" s="305">
        <v>3.5</v>
      </c>
      <c r="L40" s="308"/>
      <c r="M40" s="329"/>
    </row>
    <row r="41" spans="2:13" s="1" customFormat="1" ht="15" customHeight="1" x14ac:dyDescent="0.25">
      <c r="B41" s="314"/>
      <c r="C41" s="313"/>
      <c r="D41" s="305">
        <f>(C40-C42)*1000</f>
        <v>18.000000000000014</v>
      </c>
      <c r="E41" s="305"/>
      <c r="F41" s="307">
        <f t="shared" ref="F41" si="28">(E40+E42)/2</f>
        <v>8.7800000000000011</v>
      </c>
      <c r="G41" s="305">
        <f t="shared" ref="G41" si="29">D41*F41</f>
        <v>158.04000000000013</v>
      </c>
      <c r="H41" s="305"/>
      <c r="I41" s="307">
        <f t="shared" ref="I41" si="30">(H40+H42)/2</f>
        <v>0.58000000000000007</v>
      </c>
      <c r="J41" s="305">
        <f t="shared" ref="J41" si="31">D41*I41</f>
        <v>10.44000000000001</v>
      </c>
      <c r="K41" s="305">
        <f t="shared" ref="K41" si="32">0.6+0.6</f>
        <v>1.2</v>
      </c>
      <c r="L41" s="307">
        <f t="shared" ref="L41" si="33">(K40+K42)/2</f>
        <v>4.3499999999999996</v>
      </c>
      <c r="M41" s="327">
        <f t="shared" ref="M41" si="34">L41*D41</f>
        <v>78.300000000000054</v>
      </c>
    </row>
    <row r="42" spans="2:13" s="1" customFormat="1" ht="15" customHeight="1" x14ac:dyDescent="0.25">
      <c r="B42" s="314" t="s">
        <v>12</v>
      </c>
      <c r="C42" s="313">
        <v>0.20516999999999999</v>
      </c>
      <c r="D42" s="305"/>
      <c r="E42" s="305">
        <v>8.81</v>
      </c>
      <c r="F42" s="308"/>
      <c r="G42" s="305"/>
      <c r="H42" s="305">
        <f>0.66+0.5</f>
        <v>1.1600000000000001</v>
      </c>
      <c r="I42" s="308"/>
      <c r="J42" s="305"/>
      <c r="K42" s="305">
        <f>2.3+2.9</f>
        <v>5.1999999999999993</v>
      </c>
      <c r="L42" s="308"/>
      <c r="M42" s="329"/>
    </row>
    <row r="43" spans="2:13" ht="15" customHeight="1" x14ac:dyDescent="0.25">
      <c r="B43" s="316"/>
      <c r="C43" s="317"/>
      <c r="D43" s="305">
        <f>(C42-C44)*1000</f>
        <v>3.8499999999999925</v>
      </c>
      <c r="E43" s="312"/>
      <c r="F43" s="307">
        <f t="shared" ref="F43" si="35">(E42+E44)/2</f>
        <v>9.4050000000000011</v>
      </c>
      <c r="G43" s="305">
        <f t="shared" ref="G43" si="36">D43*F43</f>
        <v>36.209249999999933</v>
      </c>
      <c r="H43" s="305"/>
      <c r="I43" s="307">
        <f t="shared" ref="I43" si="37">(H42+H44)/2</f>
        <v>1.08</v>
      </c>
      <c r="J43" s="305">
        <f t="shared" ref="J43" si="38">D43*I43</f>
        <v>4.1579999999999924</v>
      </c>
      <c r="K43" s="305">
        <f t="shared" ref="K43" si="39">0.6+0.6</f>
        <v>1.2</v>
      </c>
      <c r="L43" s="307">
        <f t="shared" ref="L43" si="40">(K42+K44)/2</f>
        <v>5.1999999999999993</v>
      </c>
      <c r="M43" s="327">
        <f t="shared" ref="M43" si="41">L43*D43</f>
        <v>20.019999999999957</v>
      </c>
    </row>
    <row r="44" spans="2:13" s="1" customFormat="1" ht="15" customHeight="1" x14ac:dyDescent="0.25">
      <c r="B44" s="315" t="s">
        <v>105</v>
      </c>
      <c r="C44" s="313">
        <v>0.20132</v>
      </c>
      <c r="D44" s="305"/>
      <c r="E44" s="305">
        <v>10</v>
      </c>
      <c r="F44" s="308"/>
      <c r="G44" s="305"/>
      <c r="H44" s="305">
        <v>1</v>
      </c>
      <c r="I44" s="308"/>
      <c r="J44" s="305"/>
      <c r="K44" s="305">
        <v>5.2</v>
      </c>
      <c r="L44" s="308"/>
      <c r="M44" s="329"/>
    </row>
    <row r="45" spans="2:13" ht="15" customHeight="1" x14ac:dyDescent="0.25">
      <c r="B45" s="315"/>
      <c r="C45" s="313"/>
      <c r="D45" s="69"/>
      <c r="E45" s="305"/>
      <c r="F45" s="68"/>
      <c r="G45" s="68"/>
      <c r="H45" s="305"/>
      <c r="I45" s="68" t="s">
        <v>14</v>
      </c>
      <c r="J45" s="68" t="s">
        <v>14</v>
      </c>
      <c r="K45" s="305">
        <f t="shared" ref="K45" si="42">0.6+0.6</f>
        <v>1.2</v>
      </c>
      <c r="L45" s="33"/>
      <c r="M45" s="56"/>
    </row>
    <row r="46" spans="2:13" ht="15" customHeight="1" thickBot="1" x14ac:dyDescent="0.3">
      <c r="B46" s="27"/>
      <c r="C46" s="28"/>
      <c r="D46" s="36"/>
      <c r="E46" s="36"/>
      <c r="F46" s="36"/>
      <c r="G46" s="36"/>
      <c r="H46" s="36"/>
      <c r="I46" s="36"/>
      <c r="J46" s="36"/>
      <c r="K46" s="36"/>
      <c r="L46" s="36"/>
      <c r="M46" s="29"/>
    </row>
    <row r="47" spans="2:13" ht="15" customHeight="1" x14ac:dyDescent="0.25">
      <c r="B47" s="27"/>
      <c r="C47" s="28"/>
      <c r="D47" s="36"/>
      <c r="E47" s="36"/>
      <c r="F47" s="36"/>
      <c r="G47" s="330">
        <f>SUM(G16:G45)</f>
        <v>1945.8589999999999</v>
      </c>
      <c r="H47" s="36"/>
      <c r="I47" s="37"/>
      <c r="J47" s="330">
        <f>SUM(J16:J45)</f>
        <v>379.40365000000008</v>
      </c>
      <c r="K47" s="36"/>
      <c r="L47" s="36"/>
      <c r="M47" s="330">
        <f>SUM(M16:M45)</f>
        <v>725.08600000000001</v>
      </c>
    </row>
    <row r="48" spans="2:13" ht="15" customHeight="1" thickBot="1" x14ac:dyDescent="0.3">
      <c r="B48" s="30"/>
      <c r="C48" s="31"/>
      <c r="D48" s="38"/>
      <c r="E48" s="38"/>
      <c r="F48" s="38"/>
      <c r="G48" s="331"/>
      <c r="H48" s="38"/>
      <c r="I48" s="39"/>
      <c r="J48" s="331"/>
      <c r="K48" s="38"/>
      <c r="L48" s="38"/>
      <c r="M48" s="331"/>
    </row>
    <row r="159" spans="2:5" x14ac:dyDescent="0.25">
      <c r="B159" s="212"/>
      <c r="C159" s="212"/>
      <c r="D159" s="212"/>
      <c r="E159" s="212"/>
    </row>
    <row r="170" spans="3:5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mergeCells count="158">
    <mergeCell ref="I39:I40"/>
    <mergeCell ref="J39:J40"/>
    <mergeCell ref="I41:I42"/>
    <mergeCell ref="J41:J42"/>
    <mergeCell ref="K42:K43"/>
    <mergeCell ref="K44:K45"/>
    <mergeCell ref="M47:M48"/>
    <mergeCell ref="G47:G48"/>
    <mergeCell ref="J47:J48"/>
    <mergeCell ref="I43:I44"/>
    <mergeCell ref="J43:J44"/>
    <mergeCell ref="L41:L42"/>
    <mergeCell ref="M41:M42"/>
    <mergeCell ref="L43:L44"/>
    <mergeCell ref="M43:M44"/>
    <mergeCell ref="H42:H43"/>
    <mergeCell ref="H44:H45"/>
    <mergeCell ref="L31:L32"/>
    <mergeCell ref="M31:M32"/>
    <mergeCell ref="L33:L34"/>
    <mergeCell ref="M33:M34"/>
    <mergeCell ref="K30:K31"/>
    <mergeCell ref="L37:L38"/>
    <mergeCell ref="M37:M38"/>
    <mergeCell ref="K38:K39"/>
    <mergeCell ref="K40:K41"/>
    <mergeCell ref="K11:M11"/>
    <mergeCell ref="K12:M12"/>
    <mergeCell ref="K16:K17"/>
    <mergeCell ref="L16:L18"/>
    <mergeCell ref="M16:M18"/>
    <mergeCell ref="K18:K19"/>
    <mergeCell ref="H38:H39"/>
    <mergeCell ref="H40:H41"/>
    <mergeCell ref="H16:H17"/>
    <mergeCell ref="I16:I18"/>
    <mergeCell ref="J16:J18"/>
    <mergeCell ref="H18:H19"/>
    <mergeCell ref="H23:H24"/>
    <mergeCell ref="H25:H26"/>
    <mergeCell ref="I26:I27"/>
    <mergeCell ref="J26:J27"/>
    <mergeCell ref="H27:H28"/>
    <mergeCell ref="K32:K33"/>
    <mergeCell ref="K34:K35"/>
    <mergeCell ref="L35:L36"/>
    <mergeCell ref="M35:M36"/>
    <mergeCell ref="K36:K37"/>
    <mergeCell ref="L39:L40"/>
    <mergeCell ref="M39:M40"/>
    <mergeCell ref="B11:C12"/>
    <mergeCell ref="D11:D13"/>
    <mergeCell ref="E11:G11"/>
    <mergeCell ref="E12:G12"/>
    <mergeCell ref="H11:J11"/>
    <mergeCell ref="H12:J12"/>
    <mergeCell ref="F35:F36"/>
    <mergeCell ref="G35:G36"/>
    <mergeCell ref="F26:F27"/>
    <mergeCell ref="G26:G27"/>
    <mergeCell ref="E27:E28"/>
    <mergeCell ref="C27:C28"/>
    <mergeCell ref="D26:D27"/>
    <mergeCell ref="E23:E24"/>
    <mergeCell ref="E25:E26"/>
    <mergeCell ref="B16:B17"/>
    <mergeCell ref="B18:B19"/>
    <mergeCell ref="C16:C17"/>
    <mergeCell ref="C18:C19"/>
    <mergeCell ref="H32:H33"/>
    <mergeCell ref="H34:H35"/>
    <mergeCell ref="I35:I36"/>
    <mergeCell ref="J35:J36"/>
    <mergeCell ref="H36:H37"/>
    <mergeCell ref="B44:B45"/>
    <mergeCell ref="C44:C45"/>
    <mergeCell ref="B42:B43"/>
    <mergeCell ref="C42:C43"/>
    <mergeCell ref="D16:D18"/>
    <mergeCell ref="E16:E17"/>
    <mergeCell ref="E18:E19"/>
    <mergeCell ref="F16:F18"/>
    <mergeCell ref="G16:G18"/>
    <mergeCell ref="B23:B24"/>
    <mergeCell ref="B25:B26"/>
    <mergeCell ref="B27:B28"/>
    <mergeCell ref="C23:C24"/>
    <mergeCell ref="C25:C26"/>
    <mergeCell ref="B21:B22"/>
    <mergeCell ref="C21:C22"/>
    <mergeCell ref="D22:D23"/>
    <mergeCell ref="D24:D25"/>
    <mergeCell ref="E21:E22"/>
    <mergeCell ref="F22:F23"/>
    <mergeCell ref="G22:G23"/>
    <mergeCell ref="F24:F25"/>
    <mergeCell ref="G24:G25"/>
    <mergeCell ref="B38:B39"/>
    <mergeCell ref="B30:B31"/>
    <mergeCell ref="C30:C31"/>
    <mergeCell ref="D31:D32"/>
    <mergeCell ref="D33:D34"/>
    <mergeCell ref="E30:E31"/>
    <mergeCell ref="F33:F34"/>
    <mergeCell ref="G33:G34"/>
    <mergeCell ref="E40:E41"/>
    <mergeCell ref="E42:E43"/>
    <mergeCell ref="C38:C39"/>
    <mergeCell ref="E38:E39"/>
    <mergeCell ref="D35:D36"/>
    <mergeCell ref="E32:E33"/>
    <mergeCell ref="E34:E35"/>
    <mergeCell ref="E36:E37"/>
    <mergeCell ref="B32:B33"/>
    <mergeCell ref="B34:B35"/>
    <mergeCell ref="B36:B37"/>
    <mergeCell ref="C32:C33"/>
    <mergeCell ref="C34:C35"/>
    <mergeCell ref="C36:C37"/>
    <mergeCell ref="B40:B41"/>
    <mergeCell ref="C40:C41"/>
    <mergeCell ref="D37:D38"/>
    <mergeCell ref="F37:F38"/>
    <mergeCell ref="G37:G38"/>
    <mergeCell ref="F31:F32"/>
    <mergeCell ref="G31:G32"/>
    <mergeCell ref="I31:I32"/>
    <mergeCell ref="J31:J32"/>
    <mergeCell ref="I33:I34"/>
    <mergeCell ref="J33:J34"/>
    <mergeCell ref="I37:I38"/>
    <mergeCell ref="J37:J38"/>
    <mergeCell ref="H30:H31"/>
    <mergeCell ref="D41:D42"/>
    <mergeCell ref="D43:D44"/>
    <mergeCell ref="F39:F40"/>
    <mergeCell ref="G39:G40"/>
    <mergeCell ref="F41:F42"/>
    <mergeCell ref="G41:G42"/>
    <mergeCell ref="F43:F44"/>
    <mergeCell ref="G43:G44"/>
    <mergeCell ref="D39:D40"/>
    <mergeCell ref="E44:E45"/>
    <mergeCell ref="H21:H22"/>
    <mergeCell ref="I22:I23"/>
    <mergeCell ref="J22:J23"/>
    <mergeCell ref="I24:I25"/>
    <mergeCell ref="J24:J25"/>
    <mergeCell ref="K21:K22"/>
    <mergeCell ref="L22:L23"/>
    <mergeCell ref="M22:M23"/>
    <mergeCell ref="L24:L25"/>
    <mergeCell ref="M24:M25"/>
    <mergeCell ref="K23:K24"/>
    <mergeCell ref="K25:K26"/>
    <mergeCell ref="L26:L27"/>
    <mergeCell ref="M26:M27"/>
    <mergeCell ref="K27:K28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&amp;RVýkaz výměr SO 03</oddHeader>
    <oddFooter>&amp;L&amp;F&amp;C&amp;A&amp;R&amp;P/&amp;N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E7BD-0A29-461C-9AC8-4994BFA995C7}">
  <dimension ref="B2:T244"/>
  <sheetViews>
    <sheetView workbookViewId="0">
      <selection activeCell="D260" sqref="D238:D260"/>
    </sheetView>
  </sheetViews>
  <sheetFormatPr defaultRowHeight="15" x14ac:dyDescent="0.25"/>
  <cols>
    <col min="1" max="1" width="2.85546875" style="1" customWidth="1"/>
    <col min="2" max="2" width="4.140625" style="1" customWidth="1"/>
    <col min="3" max="3" width="8.140625" style="1" bestFit="1" customWidth="1"/>
    <col min="4" max="4" width="6" style="1" customWidth="1"/>
    <col min="5" max="5" width="7.42578125" style="1" customWidth="1"/>
    <col min="6" max="6" width="6.7109375" style="1" customWidth="1"/>
    <col min="7" max="7" width="8.7109375" style="1" customWidth="1"/>
    <col min="8" max="8" width="7.5703125" style="1" customWidth="1"/>
    <col min="9" max="9" width="6.85546875" style="1" customWidth="1"/>
    <col min="10" max="10" width="8.5703125" style="1" customWidth="1"/>
    <col min="11" max="11" width="7.7109375" style="1" customWidth="1"/>
    <col min="12" max="12" width="6.85546875" style="1" customWidth="1"/>
    <col min="13" max="14" width="8.42578125" style="1" customWidth="1"/>
    <col min="15" max="15" width="11.42578125" style="1" bestFit="1" customWidth="1"/>
    <col min="16" max="16" width="9.140625" style="1"/>
    <col min="17" max="17" width="11.42578125" style="1" bestFit="1" customWidth="1"/>
    <col min="18" max="18" width="9.140625" style="1"/>
    <col min="19" max="19" width="11.28515625" style="1" customWidth="1"/>
    <col min="20" max="16384" width="9.140625" style="1"/>
  </cols>
  <sheetData>
    <row r="2" spans="2:20" ht="15.75" x14ac:dyDescent="0.25">
      <c r="B2" s="2" t="s">
        <v>31</v>
      </c>
      <c r="C2" s="45"/>
    </row>
    <row r="3" spans="2:20" ht="15.75" x14ac:dyDescent="0.25">
      <c r="B3" s="2" t="s">
        <v>32</v>
      </c>
      <c r="C3" s="45"/>
    </row>
    <row r="4" spans="2:20" ht="15.75" x14ac:dyDescent="0.25">
      <c r="B4" s="2"/>
    </row>
    <row r="5" spans="2:20" ht="15.75" x14ac:dyDescent="0.25">
      <c r="B5" s="4" t="s">
        <v>30</v>
      </c>
    </row>
    <row r="6" spans="2:20" x14ac:dyDescent="0.25">
      <c r="B6" s="5" t="s">
        <v>124</v>
      </c>
    </row>
    <row r="7" spans="2:20" x14ac:dyDescent="0.25">
      <c r="B7" s="6" t="s">
        <v>1</v>
      </c>
    </row>
    <row r="8" spans="2:20" x14ac:dyDescent="0.25">
      <c r="B8" s="6" t="s">
        <v>2</v>
      </c>
    </row>
    <row r="9" spans="2:20" x14ac:dyDescent="0.25">
      <c r="B9" s="7" t="s">
        <v>284</v>
      </c>
    </row>
    <row r="10" spans="2:20" ht="8.25" customHeight="1" thickBot="1" x14ac:dyDescent="0.3">
      <c r="B10" s="9"/>
      <c r="C10" s="9"/>
      <c r="D10" s="9"/>
      <c r="E10" s="10"/>
      <c r="F10" s="12"/>
      <c r="G10" s="9"/>
      <c r="H10" s="12"/>
      <c r="I10" s="9"/>
      <c r="J10" s="12"/>
      <c r="K10" s="9"/>
      <c r="L10" s="12"/>
      <c r="M10" s="9"/>
      <c r="N10" s="13"/>
      <c r="O10" s="11"/>
      <c r="P10" s="12"/>
      <c r="Q10" s="9"/>
      <c r="R10" s="12"/>
      <c r="S10" s="9"/>
      <c r="T10" s="12"/>
    </row>
    <row r="11" spans="2:20" ht="15.75" thickBot="1" x14ac:dyDescent="0.3">
      <c r="B11" s="320" t="s">
        <v>22</v>
      </c>
      <c r="C11" s="321"/>
      <c r="D11" s="324" t="s">
        <v>21</v>
      </c>
      <c r="E11" s="326" t="s">
        <v>228</v>
      </c>
      <c r="F11" s="326"/>
      <c r="G11" s="326"/>
      <c r="H11" s="326" t="s">
        <v>229</v>
      </c>
      <c r="I11" s="326"/>
      <c r="J11" s="326"/>
      <c r="K11" s="326" t="s">
        <v>230</v>
      </c>
      <c r="L11" s="326"/>
      <c r="M11" s="326"/>
      <c r="N11" s="13"/>
      <c r="O11" s="11"/>
      <c r="P11" s="12"/>
      <c r="Q11" s="9"/>
      <c r="R11" s="12"/>
      <c r="S11" s="9"/>
      <c r="T11" s="12"/>
    </row>
    <row r="12" spans="2:20" ht="19.5" customHeight="1" thickBot="1" x14ac:dyDescent="0.3">
      <c r="B12" s="322"/>
      <c r="C12" s="323"/>
      <c r="D12" s="324"/>
      <c r="E12" s="326" t="s">
        <v>126</v>
      </c>
      <c r="F12" s="326"/>
      <c r="G12" s="326"/>
      <c r="H12" s="326" t="s">
        <v>127</v>
      </c>
      <c r="I12" s="326"/>
      <c r="J12" s="326"/>
      <c r="K12" s="326"/>
      <c r="L12" s="326"/>
      <c r="M12" s="326"/>
      <c r="N12" s="13"/>
      <c r="O12" s="11"/>
      <c r="P12" s="12"/>
      <c r="Q12" s="9"/>
      <c r="R12" s="12"/>
      <c r="S12" s="9"/>
      <c r="T12" s="12"/>
    </row>
    <row r="13" spans="2:20" ht="23.25" customHeight="1" x14ac:dyDescent="0.25">
      <c r="B13" s="14" t="s">
        <v>17</v>
      </c>
      <c r="C13" s="14" t="s">
        <v>18</v>
      </c>
      <c r="D13" s="325"/>
      <c r="E13" s="15" t="s">
        <v>23</v>
      </c>
      <c r="F13" s="16" t="s">
        <v>24</v>
      </c>
      <c r="G13" s="15" t="s">
        <v>25</v>
      </c>
      <c r="H13" s="15" t="s">
        <v>23</v>
      </c>
      <c r="I13" s="16" t="s">
        <v>24</v>
      </c>
      <c r="J13" s="15" t="s">
        <v>25</v>
      </c>
      <c r="K13" s="15" t="s">
        <v>23</v>
      </c>
      <c r="L13" s="16" t="s">
        <v>24</v>
      </c>
      <c r="M13" s="15" t="s">
        <v>25</v>
      </c>
      <c r="N13" s="13"/>
      <c r="O13" s="11"/>
      <c r="P13" s="12"/>
      <c r="Q13" s="9"/>
      <c r="R13" s="12"/>
      <c r="S13" s="9"/>
      <c r="T13" s="12"/>
    </row>
    <row r="14" spans="2:20" ht="15.75" thickBot="1" x14ac:dyDescent="0.3">
      <c r="B14" s="17"/>
      <c r="C14" s="18" t="s">
        <v>13</v>
      </c>
      <c r="D14" s="19" t="s">
        <v>11</v>
      </c>
      <c r="E14" s="18" t="s">
        <v>11</v>
      </c>
      <c r="F14" s="71" t="s">
        <v>11</v>
      </c>
      <c r="G14" s="18" t="s">
        <v>26</v>
      </c>
      <c r="H14" s="18" t="s">
        <v>11</v>
      </c>
      <c r="I14" s="71" t="s">
        <v>11</v>
      </c>
      <c r="J14" s="18" t="s">
        <v>26</v>
      </c>
      <c r="K14" s="18" t="s">
        <v>11</v>
      </c>
      <c r="L14" s="71" t="s">
        <v>11</v>
      </c>
      <c r="M14" s="71" t="s">
        <v>26</v>
      </c>
      <c r="N14" s="13"/>
      <c r="O14" s="11"/>
      <c r="P14" s="12"/>
      <c r="Q14" s="9"/>
      <c r="R14" s="12"/>
      <c r="S14" s="9"/>
      <c r="T14" s="12"/>
    </row>
    <row r="15" spans="2:20" ht="15" customHeight="1" x14ac:dyDescent="0.25">
      <c r="B15" s="20" t="s">
        <v>125</v>
      </c>
      <c r="C15" s="21"/>
      <c r="D15" s="21"/>
      <c r="E15" s="21"/>
      <c r="F15" s="21"/>
      <c r="G15" s="21"/>
      <c r="H15" s="21"/>
      <c r="I15" s="21"/>
      <c r="J15" s="21"/>
      <c r="K15" s="22"/>
      <c r="L15" s="22"/>
      <c r="M15" s="23"/>
    </row>
    <row r="16" spans="2:20" ht="15" customHeight="1" x14ac:dyDescent="0.25">
      <c r="B16" s="26" t="s">
        <v>96</v>
      </c>
      <c r="C16" s="24"/>
      <c r="D16" s="32"/>
      <c r="E16" s="32"/>
      <c r="F16" s="32"/>
      <c r="G16" s="32"/>
      <c r="H16" s="32"/>
      <c r="I16" s="32"/>
      <c r="J16" s="32"/>
      <c r="K16" s="32"/>
      <c r="L16" s="32"/>
      <c r="M16" s="25"/>
    </row>
    <row r="17" spans="2:13" ht="15" customHeight="1" x14ac:dyDescent="0.25">
      <c r="B17" s="319" t="s">
        <v>94</v>
      </c>
      <c r="C17" s="313">
        <v>0.33581</v>
      </c>
      <c r="D17" s="33"/>
      <c r="E17" s="305">
        <v>10.1</v>
      </c>
      <c r="F17" s="33"/>
      <c r="G17" s="33"/>
      <c r="H17" s="305">
        <v>5.4</v>
      </c>
      <c r="I17" s="33"/>
      <c r="J17" s="33"/>
      <c r="K17" s="305"/>
      <c r="L17" s="33"/>
      <c r="M17" s="56"/>
    </row>
    <row r="18" spans="2:13" ht="15" customHeight="1" x14ac:dyDescent="0.25">
      <c r="B18" s="319"/>
      <c r="C18" s="313"/>
      <c r="D18" s="305">
        <f>(C17-C19)*1000</f>
        <v>12.000000000000011</v>
      </c>
      <c r="E18" s="305"/>
      <c r="F18" s="305">
        <f>(E17+E19)/2</f>
        <v>9.9749999999999996</v>
      </c>
      <c r="G18" s="305">
        <f>F18*D18</f>
        <v>119.7000000000001</v>
      </c>
      <c r="H18" s="305"/>
      <c r="I18" s="305">
        <f>(H17+H19)/2</f>
        <v>5.2249999999999996</v>
      </c>
      <c r="J18" s="305">
        <f>I18*D18</f>
        <v>62.700000000000053</v>
      </c>
      <c r="K18" s="305"/>
      <c r="L18" s="305"/>
      <c r="M18" s="306"/>
    </row>
    <row r="19" spans="2:13" ht="15" customHeight="1" x14ac:dyDescent="0.25">
      <c r="B19" s="314" t="s">
        <v>97</v>
      </c>
      <c r="C19" s="313">
        <v>0.32380999999999999</v>
      </c>
      <c r="D19" s="305"/>
      <c r="E19" s="305">
        <v>9.85</v>
      </c>
      <c r="F19" s="305"/>
      <c r="G19" s="305"/>
      <c r="H19" s="305">
        <v>5.05</v>
      </c>
      <c r="I19" s="305"/>
      <c r="J19" s="305"/>
      <c r="K19" s="305"/>
      <c r="L19" s="305"/>
      <c r="M19" s="306"/>
    </row>
    <row r="20" spans="2:13" ht="15" customHeight="1" x14ac:dyDescent="0.25">
      <c r="B20" s="314"/>
      <c r="C20" s="313"/>
      <c r="D20" s="305">
        <f>(C19-C21)*1000</f>
        <v>13.669999999999959</v>
      </c>
      <c r="E20" s="305"/>
      <c r="F20" s="305">
        <f>(E19+E21)/2</f>
        <v>9.2749999999999986</v>
      </c>
      <c r="G20" s="305">
        <f t="shared" ref="G20" si="0">F20*D20</f>
        <v>126.7892499999996</v>
      </c>
      <c r="H20" s="305"/>
      <c r="I20" s="305">
        <f>(H19+H21)/2</f>
        <v>4.875</v>
      </c>
      <c r="J20" s="305">
        <f>I20*D20</f>
        <v>66.6412499999998</v>
      </c>
      <c r="K20" s="305"/>
      <c r="L20" s="305"/>
      <c r="M20" s="306"/>
    </row>
    <row r="21" spans="2:13" ht="15" customHeight="1" x14ac:dyDescent="0.25">
      <c r="B21" s="314" t="s">
        <v>98</v>
      </c>
      <c r="C21" s="313">
        <v>0.31014000000000003</v>
      </c>
      <c r="D21" s="305"/>
      <c r="E21" s="305">
        <v>8.6999999999999993</v>
      </c>
      <c r="F21" s="305"/>
      <c r="G21" s="305"/>
      <c r="H21" s="305">
        <v>4.7</v>
      </c>
      <c r="I21" s="305"/>
      <c r="J21" s="305"/>
      <c r="K21" s="305"/>
      <c r="L21" s="305"/>
      <c r="M21" s="306"/>
    </row>
    <row r="22" spans="2:13" ht="15" customHeight="1" x14ac:dyDescent="0.25">
      <c r="B22" s="314"/>
      <c r="C22" s="313"/>
      <c r="D22" s="305">
        <f>(C21-C23)*1000</f>
        <v>10.260000000000048</v>
      </c>
      <c r="E22" s="305"/>
      <c r="F22" s="305">
        <f>(E21+E23)/2</f>
        <v>8.6999999999999993</v>
      </c>
      <c r="G22" s="305">
        <f t="shared" ref="G22" si="1">F22*D22</f>
        <v>89.262000000000413</v>
      </c>
      <c r="H22" s="305"/>
      <c r="I22" s="305">
        <f>(H21+H23)/2</f>
        <v>4.7</v>
      </c>
      <c r="J22" s="305">
        <f>I22*D22</f>
        <v>48.222000000000229</v>
      </c>
      <c r="K22" s="305"/>
      <c r="L22" s="305"/>
      <c r="M22" s="306"/>
    </row>
    <row r="23" spans="2:13" ht="15" customHeight="1" x14ac:dyDescent="0.25">
      <c r="B23" s="315" t="s">
        <v>142</v>
      </c>
      <c r="C23" s="313">
        <v>0.29987999999999998</v>
      </c>
      <c r="D23" s="305"/>
      <c r="E23" s="305">
        <v>8.6999999999999993</v>
      </c>
      <c r="F23" s="305"/>
      <c r="G23" s="305"/>
      <c r="H23" s="305">
        <v>4.7</v>
      </c>
      <c r="I23" s="305"/>
      <c r="J23" s="305"/>
      <c r="K23" s="305"/>
      <c r="L23" s="305"/>
      <c r="M23" s="306"/>
    </row>
    <row r="24" spans="2:13" ht="15" customHeight="1" x14ac:dyDescent="0.25">
      <c r="B24" s="315"/>
      <c r="C24" s="313"/>
      <c r="D24" s="33"/>
      <c r="E24" s="305"/>
      <c r="F24" s="33"/>
      <c r="G24" s="33"/>
      <c r="H24" s="305"/>
      <c r="I24" s="33"/>
      <c r="J24" s="33"/>
      <c r="K24" s="305"/>
      <c r="L24" s="33"/>
      <c r="M24" s="56"/>
    </row>
    <row r="25" spans="2:13" ht="15" customHeight="1" x14ac:dyDescent="0.25">
      <c r="B25" s="26" t="s">
        <v>106</v>
      </c>
      <c r="C25" s="24"/>
      <c r="D25" s="32"/>
      <c r="E25" s="32"/>
      <c r="F25" s="32"/>
      <c r="G25" s="32"/>
      <c r="H25" s="32"/>
      <c r="I25" s="32"/>
      <c r="J25" s="32"/>
      <c r="K25" s="32"/>
      <c r="L25" s="32"/>
      <c r="M25" s="25"/>
    </row>
    <row r="26" spans="2:13" ht="15" customHeight="1" x14ac:dyDescent="0.25">
      <c r="B26" s="310" t="s">
        <v>142</v>
      </c>
      <c r="C26" s="311">
        <v>0.29987999999999998</v>
      </c>
      <c r="D26" s="34"/>
      <c r="E26" s="332">
        <v>8.6999999999999993</v>
      </c>
      <c r="F26" s="54"/>
      <c r="G26" s="54"/>
      <c r="H26" s="332">
        <v>4.7</v>
      </c>
      <c r="I26" s="55"/>
      <c r="J26" s="55"/>
      <c r="K26" s="332"/>
      <c r="L26" s="55"/>
      <c r="M26" s="58"/>
    </row>
    <row r="27" spans="2:13" ht="15" customHeight="1" x14ac:dyDescent="0.25">
      <c r="B27" s="310"/>
      <c r="C27" s="311"/>
      <c r="D27" s="305">
        <f>(C26-C28)*1000</f>
        <v>10.709999999999997</v>
      </c>
      <c r="E27" s="332"/>
      <c r="F27" s="336">
        <f>(E26+E28)/2</f>
        <v>8.7749999999999986</v>
      </c>
      <c r="G27" s="335">
        <f>D27*F27</f>
        <v>93.980249999999955</v>
      </c>
      <c r="H27" s="332"/>
      <c r="I27" s="336">
        <f>(H26+H28)/2</f>
        <v>4.7</v>
      </c>
      <c r="J27" s="335">
        <f>D27*I27</f>
        <v>50.336999999999989</v>
      </c>
      <c r="K27" s="332"/>
      <c r="L27" s="336"/>
      <c r="M27" s="333"/>
    </row>
    <row r="28" spans="2:13" ht="15" customHeight="1" x14ac:dyDescent="0.25">
      <c r="B28" s="314" t="s">
        <v>100</v>
      </c>
      <c r="C28" s="311">
        <v>0.28916999999999998</v>
      </c>
      <c r="D28" s="305"/>
      <c r="E28" s="335">
        <v>8.85</v>
      </c>
      <c r="F28" s="337"/>
      <c r="G28" s="335"/>
      <c r="H28" s="335">
        <v>4.7</v>
      </c>
      <c r="I28" s="337"/>
      <c r="J28" s="335"/>
      <c r="K28" s="335"/>
      <c r="L28" s="337"/>
      <c r="M28" s="334"/>
    </row>
    <row r="29" spans="2:13" ht="15" customHeight="1" x14ac:dyDescent="0.25">
      <c r="B29" s="314"/>
      <c r="C29" s="311"/>
      <c r="D29" s="305">
        <f>(C28-C30)*1000</f>
        <v>17.999999999999961</v>
      </c>
      <c r="E29" s="335"/>
      <c r="F29" s="336">
        <f>(E28+E30)/2</f>
        <v>8.9250000000000007</v>
      </c>
      <c r="G29" s="335">
        <f t="shared" ref="G29" si="2">D29*F29</f>
        <v>160.64999999999966</v>
      </c>
      <c r="H29" s="335"/>
      <c r="I29" s="336">
        <f>(H28+H30)/2</f>
        <v>4.7</v>
      </c>
      <c r="J29" s="335">
        <f>D29*I29</f>
        <v>84.599999999999824</v>
      </c>
      <c r="K29" s="335"/>
      <c r="L29" s="336"/>
      <c r="M29" s="333"/>
    </row>
    <row r="30" spans="2:13" ht="15" customHeight="1" x14ac:dyDescent="0.25">
      <c r="B30" s="314" t="s">
        <v>101</v>
      </c>
      <c r="C30" s="311">
        <v>0.27117000000000002</v>
      </c>
      <c r="D30" s="305"/>
      <c r="E30" s="332">
        <v>9</v>
      </c>
      <c r="F30" s="337"/>
      <c r="G30" s="335"/>
      <c r="H30" s="335">
        <v>4.7</v>
      </c>
      <c r="I30" s="337"/>
      <c r="J30" s="335"/>
      <c r="K30" s="335"/>
      <c r="L30" s="337"/>
      <c r="M30" s="334"/>
    </row>
    <row r="31" spans="2:13" ht="15" customHeight="1" x14ac:dyDescent="0.25">
      <c r="B31" s="314"/>
      <c r="C31" s="311"/>
      <c r="D31" s="305">
        <f>(C30-C32)*1000</f>
        <v>12.000000000000011</v>
      </c>
      <c r="E31" s="332"/>
      <c r="F31" s="336">
        <f t="shared" ref="F31" si="3">(E30+E32)/2</f>
        <v>8.9499999999999993</v>
      </c>
      <c r="G31" s="335">
        <f t="shared" ref="G31" si="4">D31*F31</f>
        <v>107.40000000000009</v>
      </c>
      <c r="H31" s="335"/>
      <c r="I31" s="336">
        <f>(H30+H32)/2</f>
        <v>4.7</v>
      </c>
      <c r="J31" s="335">
        <f t="shared" ref="J31" si="5">D31*I31</f>
        <v>56.400000000000055</v>
      </c>
      <c r="K31" s="335"/>
      <c r="L31" s="336"/>
      <c r="M31" s="333"/>
    </row>
    <row r="32" spans="2:13" ht="15" customHeight="1" x14ac:dyDescent="0.25">
      <c r="B32" s="314" t="s">
        <v>102</v>
      </c>
      <c r="C32" s="311">
        <v>0.25917000000000001</v>
      </c>
      <c r="D32" s="305"/>
      <c r="E32" s="332">
        <v>8.9</v>
      </c>
      <c r="F32" s="337"/>
      <c r="G32" s="335"/>
      <c r="H32" s="335">
        <v>4.7</v>
      </c>
      <c r="I32" s="337"/>
      <c r="J32" s="335"/>
      <c r="K32" s="335"/>
      <c r="L32" s="337"/>
      <c r="M32" s="334"/>
    </row>
    <row r="33" spans="2:13" ht="15" customHeight="1" x14ac:dyDescent="0.25">
      <c r="B33" s="314"/>
      <c r="C33" s="311"/>
      <c r="D33" s="305">
        <f>(C32-C34)*1000</f>
        <v>24.000000000000021</v>
      </c>
      <c r="E33" s="332"/>
      <c r="F33" s="336">
        <f>(E32+E34)/2</f>
        <v>8.9499999999999993</v>
      </c>
      <c r="G33" s="335">
        <f t="shared" ref="G33" si="6">D33*F33</f>
        <v>214.80000000000018</v>
      </c>
      <c r="H33" s="335"/>
      <c r="I33" s="336">
        <f>(H32+H34)/2</f>
        <v>4.7</v>
      </c>
      <c r="J33" s="335">
        <f t="shared" ref="J33" si="7">D33*I33</f>
        <v>112.80000000000011</v>
      </c>
      <c r="K33" s="335"/>
      <c r="L33" s="336"/>
      <c r="M33" s="333"/>
    </row>
    <row r="34" spans="2:13" ht="15" customHeight="1" x14ac:dyDescent="0.25">
      <c r="B34" s="314" t="s">
        <v>103</v>
      </c>
      <c r="C34" s="313">
        <v>0.23516999999999999</v>
      </c>
      <c r="D34" s="305"/>
      <c r="E34" s="335">
        <v>9</v>
      </c>
      <c r="F34" s="337"/>
      <c r="G34" s="335"/>
      <c r="H34" s="335">
        <v>4.7</v>
      </c>
      <c r="I34" s="337"/>
      <c r="J34" s="335"/>
      <c r="K34" s="335"/>
      <c r="L34" s="337"/>
      <c r="M34" s="334"/>
    </row>
    <row r="35" spans="2:13" ht="15" customHeight="1" x14ac:dyDescent="0.25">
      <c r="B35" s="314"/>
      <c r="C35" s="313"/>
      <c r="D35" s="305">
        <f>(C34-C36)*1000</f>
        <v>11.999999999999982</v>
      </c>
      <c r="E35" s="335"/>
      <c r="F35" s="336">
        <f t="shared" ref="F35" si="8">(E34+E36)/2</f>
        <v>8.85</v>
      </c>
      <c r="G35" s="335">
        <f t="shared" ref="G35" si="9">D35*F35</f>
        <v>106.19999999999983</v>
      </c>
      <c r="H35" s="335"/>
      <c r="I35" s="336">
        <f t="shared" ref="I35" si="10">(H34+H36)/2</f>
        <v>4.7</v>
      </c>
      <c r="J35" s="335">
        <f t="shared" ref="J35" si="11">D35*I35</f>
        <v>56.39999999999992</v>
      </c>
      <c r="K35" s="335"/>
      <c r="L35" s="336"/>
      <c r="M35" s="333"/>
    </row>
    <row r="36" spans="2:13" ht="15" customHeight="1" x14ac:dyDescent="0.25">
      <c r="B36" s="314" t="s">
        <v>104</v>
      </c>
      <c r="C36" s="313">
        <v>0.22317000000000001</v>
      </c>
      <c r="D36" s="305"/>
      <c r="E36" s="335">
        <v>8.6999999999999993</v>
      </c>
      <c r="F36" s="337"/>
      <c r="G36" s="335"/>
      <c r="H36" s="335">
        <v>4.7</v>
      </c>
      <c r="I36" s="337"/>
      <c r="J36" s="335"/>
      <c r="K36" s="335"/>
      <c r="L36" s="337"/>
      <c r="M36" s="334"/>
    </row>
    <row r="37" spans="2:13" ht="15" customHeight="1" x14ac:dyDescent="0.25">
      <c r="B37" s="314"/>
      <c r="C37" s="313"/>
      <c r="D37" s="305">
        <f>(C36-C38)*1000</f>
        <v>18.000000000000014</v>
      </c>
      <c r="E37" s="335"/>
      <c r="F37" s="336">
        <f t="shared" ref="F37" si="12">(E36+E38)/2</f>
        <v>8.375</v>
      </c>
      <c r="G37" s="335">
        <f t="shared" ref="G37" si="13">D37*F37</f>
        <v>150.75000000000011</v>
      </c>
      <c r="H37" s="335"/>
      <c r="I37" s="336">
        <f t="shared" ref="I37" si="14">(H36+H38)/2</f>
        <v>4.8499999999999996</v>
      </c>
      <c r="J37" s="335">
        <f t="shared" ref="J37" si="15">D37*I37</f>
        <v>87.300000000000068</v>
      </c>
      <c r="K37" s="335"/>
      <c r="L37" s="336"/>
      <c r="M37" s="333"/>
    </row>
    <row r="38" spans="2:13" ht="15" customHeight="1" x14ac:dyDescent="0.25">
      <c r="B38" s="314" t="s">
        <v>12</v>
      </c>
      <c r="C38" s="313">
        <v>0.20516999999999999</v>
      </c>
      <c r="D38" s="305"/>
      <c r="E38" s="335">
        <v>8.0500000000000007</v>
      </c>
      <c r="F38" s="337"/>
      <c r="G38" s="335"/>
      <c r="H38" s="335">
        <v>5</v>
      </c>
      <c r="I38" s="337"/>
      <c r="J38" s="335"/>
      <c r="K38" s="335"/>
      <c r="L38" s="337"/>
      <c r="M38" s="334"/>
    </row>
    <row r="39" spans="2:13" ht="15" customHeight="1" x14ac:dyDescent="0.25">
      <c r="B39" s="316"/>
      <c r="C39" s="317"/>
      <c r="D39" s="305">
        <f>(C38-C40)*1000</f>
        <v>3.8499999999999925</v>
      </c>
      <c r="E39" s="338"/>
      <c r="F39" s="336">
        <f t="shared" ref="F39" si="16">(E38+E40)/2</f>
        <v>9.5650000000000013</v>
      </c>
      <c r="G39" s="335">
        <f t="shared" ref="G39" si="17">D39*F39</f>
        <v>36.825249999999933</v>
      </c>
      <c r="H39" s="335"/>
      <c r="I39" s="336">
        <f t="shared" ref="I39" si="18">(H38+H40)/2</f>
        <v>5.5</v>
      </c>
      <c r="J39" s="335">
        <f t="shared" ref="J39" si="19">D39*I39</f>
        <v>21.174999999999958</v>
      </c>
      <c r="K39" s="335"/>
      <c r="L39" s="336"/>
      <c r="M39" s="333"/>
    </row>
    <row r="40" spans="2:13" ht="15" customHeight="1" x14ac:dyDescent="0.25">
      <c r="B40" s="315" t="s">
        <v>105</v>
      </c>
      <c r="C40" s="313">
        <v>0.20132</v>
      </c>
      <c r="D40" s="305"/>
      <c r="E40" s="335">
        <v>11.08</v>
      </c>
      <c r="F40" s="337"/>
      <c r="G40" s="335"/>
      <c r="H40" s="335">
        <v>6</v>
      </c>
      <c r="I40" s="337"/>
      <c r="J40" s="335"/>
      <c r="K40" s="335"/>
      <c r="L40" s="337"/>
      <c r="M40" s="334"/>
    </row>
    <row r="41" spans="2:13" ht="15" customHeight="1" x14ac:dyDescent="0.25">
      <c r="B41" s="315"/>
      <c r="C41" s="313"/>
      <c r="D41" s="69"/>
      <c r="E41" s="335"/>
      <c r="F41" s="70"/>
      <c r="G41" s="70"/>
      <c r="H41" s="335"/>
      <c r="I41" s="70" t="s">
        <v>14</v>
      </c>
      <c r="J41" s="70" t="s">
        <v>14</v>
      </c>
      <c r="K41" s="335"/>
      <c r="L41" s="54"/>
      <c r="M41" s="73"/>
    </row>
    <row r="42" spans="2:13" ht="15" customHeight="1" thickBot="1" x14ac:dyDescent="0.3">
      <c r="B42" s="27"/>
      <c r="C42" s="28"/>
      <c r="D42" s="36"/>
      <c r="E42" s="36"/>
      <c r="F42" s="36"/>
      <c r="G42" s="36"/>
      <c r="H42" s="36"/>
      <c r="I42" s="36"/>
      <c r="J42" s="36"/>
      <c r="K42" s="36"/>
      <c r="L42" s="36"/>
      <c r="M42" s="29"/>
    </row>
    <row r="43" spans="2:13" ht="15" customHeight="1" x14ac:dyDescent="0.25">
      <c r="B43" s="27"/>
      <c r="C43" s="28"/>
      <c r="D43" s="36"/>
      <c r="E43" s="36"/>
      <c r="F43" s="36"/>
      <c r="G43" s="330">
        <f>SUM(G16:G41)</f>
        <v>1206.3567499999999</v>
      </c>
      <c r="H43" s="36"/>
      <c r="I43" s="37"/>
      <c r="J43" s="330">
        <f>SUM(J16:J41)</f>
        <v>646.57524999999998</v>
      </c>
      <c r="K43" s="36"/>
      <c r="L43" s="36"/>
      <c r="M43" s="330">
        <f>SUM(M16:M41)</f>
        <v>0</v>
      </c>
    </row>
    <row r="44" spans="2:13" ht="15" customHeight="1" thickBot="1" x14ac:dyDescent="0.3">
      <c r="B44" s="30"/>
      <c r="C44" s="31"/>
      <c r="D44" s="38"/>
      <c r="E44" s="38"/>
      <c r="F44" s="38"/>
      <c r="G44" s="331"/>
      <c r="H44" s="38"/>
      <c r="I44" s="39"/>
      <c r="J44" s="331"/>
      <c r="K44" s="38"/>
      <c r="L44" s="38"/>
      <c r="M44" s="331"/>
    </row>
    <row r="159" spans="2:5" x14ac:dyDescent="0.25">
      <c r="B159" s="212"/>
      <c r="C159" s="212"/>
      <c r="D159" s="212"/>
      <c r="E159" s="212"/>
    </row>
    <row r="170" spans="3:5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mergeCells count="141">
    <mergeCell ref="G43:G44"/>
    <mergeCell ref="J43:J44"/>
    <mergeCell ref="M43:M44"/>
    <mergeCell ref="M39:M40"/>
    <mergeCell ref="B40:B41"/>
    <mergeCell ref="C40:C41"/>
    <mergeCell ref="E40:E41"/>
    <mergeCell ref="H40:H41"/>
    <mergeCell ref="K40:K41"/>
    <mergeCell ref="D39:D40"/>
    <mergeCell ref="F39:F40"/>
    <mergeCell ref="G39:G40"/>
    <mergeCell ref="I39:I40"/>
    <mergeCell ref="J39:J40"/>
    <mergeCell ref="L39:L40"/>
    <mergeCell ref="G33:G34"/>
    <mergeCell ref="I33:I34"/>
    <mergeCell ref="J33:J34"/>
    <mergeCell ref="L33:L34"/>
    <mergeCell ref="J35:J36"/>
    <mergeCell ref="L35:L36"/>
    <mergeCell ref="M35:M36"/>
    <mergeCell ref="B36:B37"/>
    <mergeCell ref="C36:C37"/>
    <mergeCell ref="E36:E37"/>
    <mergeCell ref="H36:H37"/>
    <mergeCell ref="K36:K37"/>
    <mergeCell ref="D37:D38"/>
    <mergeCell ref="F37:F38"/>
    <mergeCell ref="G37:G38"/>
    <mergeCell ref="I37:I38"/>
    <mergeCell ref="J37:J38"/>
    <mergeCell ref="L37:L38"/>
    <mergeCell ref="M37:M38"/>
    <mergeCell ref="B38:B39"/>
    <mergeCell ref="C38:C39"/>
    <mergeCell ref="E38:E39"/>
    <mergeCell ref="H38:H39"/>
    <mergeCell ref="K38:K39"/>
    <mergeCell ref="D31:D32"/>
    <mergeCell ref="F31:F32"/>
    <mergeCell ref="G31:G32"/>
    <mergeCell ref="I31:I32"/>
    <mergeCell ref="J31:J32"/>
    <mergeCell ref="L31:L32"/>
    <mergeCell ref="M31:M32"/>
    <mergeCell ref="B32:B33"/>
    <mergeCell ref="C32:C33"/>
    <mergeCell ref="E32:E33"/>
    <mergeCell ref="H32:H33"/>
    <mergeCell ref="K32:K33"/>
    <mergeCell ref="M33:M34"/>
    <mergeCell ref="B34:B35"/>
    <mergeCell ref="C34:C35"/>
    <mergeCell ref="E34:E35"/>
    <mergeCell ref="H34:H35"/>
    <mergeCell ref="K34:K35"/>
    <mergeCell ref="D35:D36"/>
    <mergeCell ref="F35:F36"/>
    <mergeCell ref="G35:G36"/>
    <mergeCell ref="I35:I36"/>
    <mergeCell ref="D33:D34"/>
    <mergeCell ref="F33:F34"/>
    <mergeCell ref="M27:M28"/>
    <mergeCell ref="B28:B29"/>
    <mergeCell ref="C28:C29"/>
    <mergeCell ref="E28:E29"/>
    <mergeCell ref="H28:H29"/>
    <mergeCell ref="K28:K29"/>
    <mergeCell ref="D29:D30"/>
    <mergeCell ref="F29:F30"/>
    <mergeCell ref="G29:G30"/>
    <mergeCell ref="I29:I30"/>
    <mergeCell ref="D27:D28"/>
    <mergeCell ref="F27:F28"/>
    <mergeCell ref="G27:G28"/>
    <mergeCell ref="I27:I28"/>
    <mergeCell ref="J27:J28"/>
    <mergeCell ref="L27:L28"/>
    <mergeCell ref="J29:J30"/>
    <mergeCell ref="L29:L30"/>
    <mergeCell ref="M29:M30"/>
    <mergeCell ref="B30:B31"/>
    <mergeCell ref="C30:C31"/>
    <mergeCell ref="E30:E31"/>
    <mergeCell ref="H30:H31"/>
    <mergeCell ref="K30:K31"/>
    <mergeCell ref="B26:B27"/>
    <mergeCell ref="C26:C27"/>
    <mergeCell ref="E26:E27"/>
    <mergeCell ref="H26:H27"/>
    <mergeCell ref="K26:K27"/>
    <mergeCell ref="F22:F23"/>
    <mergeCell ref="G22:G23"/>
    <mergeCell ref="I22:I23"/>
    <mergeCell ref="J22:J23"/>
    <mergeCell ref="B21:B22"/>
    <mergeCell ref="C21:C22"/>
    <mergeCell ref="E21:E22"/>
    <mergeCell ref="H21:H22"/>
    <mergeCell ref="K21:K22"/>
    <mergeCell ref="D22:D23"/>
    <mergeCell ref="B23:B24"/>
    <mergeCell ref="C23:C24"/>
    <mergeCell ref="E23:E24"/>
    <mergeCell ref="H23:H24"/>
    <mergeCell ref="K23:K24"/>
    <mergeCell ref="F18:F19"/>
    <mergeCell ref="G18:G19"/>
    <mergeCell ref="I18:I19"/>
    <mergeCell ref="J18:J19"/>
    <mergeCell ref="L22:L23"/>
    <mergeCell ref="M22:M23"/>
    <mergeCell ref="I20:I21"/>
    <mergeCell ref="J20:J21"/>
    <mergeCell ref="L20:L21"/>
    <mergeCell ref="M20:M21"/>
    <mergeCell ref="B11:C12"/>
    <mergeCell ref="D11:D13"/>
    <mergeCell ref="E11:G11"/>
    <mergeCell ref="H11:J11"/>
    <mergeCell ref="K11:M11"/>
    <mergeCell ref="E12:G12"/>
    <mergeCell ref="H12:J12"/>
    <mergeCell ref="K12:M12"/>
    <mergeCell ref="L18:L19"/>
    <mergeCell ref="M18:M19"/>
    <mergeCell ref="B19:B20"/>
    <mergeCell ref="C19:C20"/>
    <mergeCell ref="E19:E20"/>
    <mergeCell ref="H19:H20"/>
    <mergeCell ref="K19:K20"/>
    <mergeCell ref="D20:D21"/>
    <mergeCell ref="F20:F21"/>
    <mergeCell ref="G20:G21"/>
    <mergeCell ref="B17:B18"/>
    <mergeCell ref="C17:C18"/>
    <mergeCell ref="E17:E18"/>
    <mergeCell ref="H17:H18"/>
    <mergeCell ref="K17:K18"/>
    <mergeCell ref="D18:D19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&amp;RVýkaz výměr SO 03</oddHeader>
    <oddFooter>&amp;L&amp;F&amp;C&amp;A&amp;R&amp;P/&amp;N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C3DC1-A2B0-4207-B84D-B75C4D62E388}">
  <dimension ref="B2:T244"/>
  <sheetViews>
    <sheetView workbookViewId="0">
      <selection activeCell="D260" sqref="D238:D260"/>
    </sheetView>
  </sheetViews>
  <sheetFormatPr defaultRowHeight="15" x14ac:dyDescent="0.25"/>
  <cols>
    <col min="1" max="1" width="2.85546875" style="1" customWidth="1"/>
    <col min="2" max="2" width="4.140625" style="1" customWidth="1"/>
    <col min="3" max="3" width="8.140625" style="1" bestFit="1" customWidth="1"/>
    <col min="4" max="4" width="6" style="1" customWidth="1"/>
    <col min="5" max="5" width="7.42578125" style="1" customWidth="1"/>
    <col min="6" max="6" width="6.7109375" style="1" customWidth="1"/>
    <col min="7" max="7" width="8.7109375" style="1" customWidth="1"/>
    <col min="8" max="8" width="7.5703125" style="1" customWidth="1"/>
    <col min="9" max="9" width="6.85546875" style="1" customWidth="1"/>
    <col min="10" max="10" width="8.5703125" style="1" customWidth="1"/>
    <col min="11" max="11" width="7.7109375" style="1" customWidth="1"/>
    <col min="12" max="12" width="6.85546875" style="1" customWidth="1"/>
    <col min="13" max="14" width="8.42578125" style="1" customWidth="1"/>
    <col min="15" max="15" width="11.42578125" style="1" bestFit="1" customWidth="1"/>
    <col min="16" max="16" width="9.140625" style="1"/>
    <col min="17" max="17" width="11.42578125" style="1" bestFit="1" customWidth="1"/>
    <col min="18" max="18" width="9.140625" style="1"/>
    <col min="19" max="19" width="11.28515625" style="1" customWidth="1"/>
    <col min="20" max="16384" width="9.140625" style="1"/>
  </cols>
  <sheetData>
    <row r="2" spans="2:20" ht="15.75" x14ac:dyDescent="0.25">
      <c r="B2" s="2" t="s">
        <v>31</v>
      </c>
      <c r="C2" s="45"/>
    </row>
    <row r="3" spans="2:20" ht="15.75" x14ac:dyDescent="0.25">
      <c r="B3" s="2" t="s">
        <v>32</v>
      </c>
      <c r="C3" s="45"/>
    </row>
    <row r="4" spans="2:20" ht="15.75" x14ac:dyDescent="0.25">
      <c r="B4" s="2"/>
    </row>
    <row r="5" spans="2:20" ht="15.75" x14ac:dyDescent="0.25">
      <c r="B5" s="4" t="s">
        <v>30</v>
      </c>
    </row>
    <row r="6" spans="2:20" x14ac:dyDescent="0.25">
      <c r="B6" s="5" t="s">
        <v>124</v>
      </c>
    </row>
    <row r="7" spans="2:20" x14ac:dyDescent="0.25">
      <c r="B7" s="6" t="s">
        <v>1</v>
      </c>
    </row>
    <row r="8" spans="2:20" x14ac:dyDescent="0.25">
      <c r="B8" s="6" t="s">
        <v>2</v>
      </c>
    </row>
    <row r="9" spans="2:20" x14ac:dyDescent="0.25">
      <c r="B9" s="7" t="s">
        <v>284</v>
      </c>
    </row>
    <row r="10" spans="2:20" ht="8.25" customHeight="1" thickBot="1" x14ac:dyDescent="0.3">
      <c r="B10" s="9"/>
      <c r="C10" s="9"/>
      <c r="D10" s="9"/>
      <c r="E10" s="10"/>
      <c r="F10" s="12"/>
      <c r="G10" s="9"/>
      <c r="H10" s="12"/>
      <c r="I10" s="9"/>
      <c r="J10" s="12"/>
      <c r="K10" s="9"/>
      <c r="L10" s="12"/>
      <c r="M10" s="9"/>
      <c r="N10" s="13"/>
      <c r="O10" s="11"/>
      <c r="P10" s="12"/>
      <c r="Q10" s="9"/>
      <c r="R10" s="12"/>
      <c r="S10" s="9"/>
      <c r="T10" s="12"/>
    </row>
    <row r="11" spans="2:20" ht="15.75" thickBot="1" x14ac:dyDescent="0.3">
      <c r="B11" s="320" t="s">
        <v>22</v>
      </c>
      <c r="C11" s="321"/>
      <c r="D11" s="324" t="s">
        <v>21</v>
      </c>
      <c r="E11" s="326" t="s">
        <v>232</v>
      </c>
      <c r="F11" s="326"/>
      <c r="G11" s="326"/>
      <c r="H11" s="326" t="s">
        <v>230</v>
      </c>
      <c r="I11" s="326"/>
      <c r="J11" s="326"/>
      <c r="K11" s="326" t="s">
        <v>231</v>
      </c>
      <c r="L11" s="326"/>
      <c r="M11" s="326"/>
      <c r="N11" s="13"/>
      <c r="O11" s="11"/>
      <c r="P11" s="12"/>
      <c r="Q11" s="9"/>
      <c r="R11" s="12"/>
      <c r="S11" s="9"/>
      <c r="T11" s="12"/>
    </row>
    <row r="12" spans="2:20" ht="19.5" customHeight="1" thickBot="1" x14ac:dyDescent="0.3">
      <c r="B12" s="322"/>
      <c r="C12" s="323"/>
      <c r="D12" s="324"/>
      <c r="E12" s="326" t="s">
        <v>140</v>
      </c>
      <c r="F12" s="326"/>
      <c r="G12" s="326"/>
      <c r="H12" s="326" t="s">
        <v>141</v>
      </c>
      <c r="I12" s="326"/>
      <c r="J12" s="326"/>
      <c r="K12" s="326" t="s">
        <v>141</v>
      </c>
      <c r="L12" s="326"/>
      <c r="M12" s="326"/>
      <c r="N12" s="13"/>
      <c r="O12" s="11"/>
      <c r="P12" s="12"/>
      <c r="Q12" s="9"/>
      <c r="R12" s="12"/>
      <c r="S12" s="9"/>
      <c r="T12" s="12"/>
    </row>
    <row r="13" spans="2:20" ht="23.25" customHeight="1" x14ac:dyDescent="0.25">
      <c r="B13" s="14" t="s">
        <v>17</v>
      </c>
      <c r="C13" s="14" t="s">
        <v>18</v>
      </c>
      <c r="D13" s="325"/>
      <c r="E13" s="15" t="s">
        <v>23</v>
      </c>
      <c r="F13" s="16" t="s">
        <v>24</v>
      </c>
      <c r="G13" s="15" t="s">
        <v>25</v>
      </c>
      <c r="H13" s="15" t="s">
        <v>23</v>
      </c>
      <c r="I13" s="16" t="s">
        <v>24</v>
      </c>
      <c r="J13" s="15" t="s">
        <v>25</v>
      </c>
      <c r="K13" s="15" t="s">
        <v>23</v>
      </c>
      <c r="L13" s="16" t="s">
        <v>24</v>
      </c>
      <c r="M13" s="15" t="s">
        <v>25</v>
      </c>
      <c r="N13" s="13"/>
      <c r="O13" s="11"/>
      <c r="P13" s="12"/>
      <c r="Q13" s="9"/>
      <c r="R13" s="12"/>
      <c r="S13" s="9"/>
      <c r="T13" s="12"/>
    </row>
    <row r="14" spans="2:20" ht="15.75" thickBot="1" x14ac:dyDescent="0.3">
      <c r="B14" s="17"/>
      <c r="C14" s="18" t="s">
        <v>13</v>
      </c>
      <c r="D14" s="19" t="s">
        <v>11</v>
      </c>
      <c r="E14" s="18" t="s">
        <v>11</v>
      </c>
      <c r="F14" s="53" t="s">
        <v>11</v>
      </c>
      <c r="G14" s="18" t="s">
        <v>26</v>
      </c>
      <c r="H14" s="18" t="s">
        <v>26</v>
      </c>
      <c r="I14" s="53" t="s">
        <v>26</v>
      </c>
      <c r="J14" s="18" t="s">
        <v>27</v>
      </c>
      <c r="K14" s="18" t="s">
        <v>11</v>
      </c>
      <c r="L14" s="53" t="s">
        <v>11</v>
      </c>
      <c r="M14" s="53" t="s">
        <v>26</v>
      </c>
      <c r="N14" s="13"/>
      <c r="O14" s="11"/>
      <c r="P14" s="12"/>
      <c r="Q14" s="9"/>
      <c r="R14" s="12"/>
      <c r="S14" s="9"/>
      <c r="T14" s="12"/>
    </row>
    <row r="15" spans="2:20" ht="15" customHeight="1" x14ac:dyDescent="0.25">
      <c r="B15" s="20" t="s">
        <v>125</v>
      </c>
      <c r="C15" s="21"/>
      <c r="D15" s="21"/>
      <c r="E15" s="21"/>
      <c r="F15" s="21"/>
      <c r="G15" s="21"/>
      <c r="H15" s="21"/>
      <c r="I15" s="21"/>
      <c r="J15" s="21"/>
      <c r="K15" s="22"/>
      <c r="L15" s="22"/>
      <c r="M15" s="23"/>
    </row>
    <row r="16" spans="2:20" ht="15" customHeight="1" x14ac:dyDescent="0.25">
      <c r="B16" s="314" t="s">
        <v>95</v>
      </c>
      <c r="C16" s="313">
        <v>0.36765999999999999</v>
      </c>
      <c r="D16" s="305">
        <f>(C16-C18)*1000</f>
        <v>31.849999999999991</v>
      </c>
      <c r="E16" s="305">
        <v>4.2</v>
      </c>
      <c r="F16" s="307">
        <f>(E16+E18)/2</f>
        <v>6.75</v>
      </c>
      <c r="G16" s="307">
        <f>F16*D16</f>
        <v>214.98749999999993</v>
      </c>
      <c r="H16" s="305"/>
      <c r="I16" s="307"/>
      <c r="J16" s="307"/>
      <c r="K16" s="305"/>
      <c r="L16" s="307"/>
      <c r="M16" s="327"/>
    </row>
    <row r="17" spans="2:13" ht="15" customHeight="1" x14ac:dyDescent="0.25">
      <c r="B17" s="314"/>
      <c r="C17" s="313"/>
      <c r="D17" s="305"/>
      <c r="E17" s="305"/>
      <c r="F17" s="318"/>
      <c r="G17" s="318"/>
      <c r="H17" s="305"/>
      <c r="I17" s="318"/>
      <c r="J17" s="318"/>
      <c r="K17" s="305"/>
      <c r="L17" s="318"/>
      <c r="M17" s="328"/>
    </row>
    <row r="18" spans="2:13" ht="15" customHeight="1" x14ac:dyDescent="0.25">
      <c r="B18" s="314" t="s">
        <v>94</v>
      </c>
      <c r="C18" s="313">
        <v>0.33581</v>
      </c>
      <c r="D18" s="305"/>
      <c r="E18" s="305">
        <v>9.3000000000000007</v>
      </c>
      <c r="F18" s="308"/>
      <c r="G18" s="308"/>
      <c r="H18" s="305"/>
      <c r="I18" s="308"/>
      <c r="J18" s="308"/>
      <c r="K18" s="305"/>
      <c r="L18" s="308"/>
      <c r="M18" s="329"/>
    </row>
    <row r="19" spans="2:13" ht="15" customHeight="1" x14ac:dyDescent="0.25">
      <c r="B19" s="314"/>
      <c r="C19" s="313"/>
      <c r="D19" s="33"/>
      <c r="E19" s="305"/>
      <c r="F19" s="32"/>
      <c r="G19" s="32"/>
      <c r="H19" s="305"/>
      <c r="I19" s="32"/>
      <c r="J19" s="32"/>
      <c r="K19" s="305"/>
      <c r="L19" s="32"/>
      <c r="M19" s="25"/>
    </row>
    <row r="20" spans="2:13" ht="15" customHeight="1" x14ac:dyDescent="0.25">
      <c r="B20" s="26" t="s">
        <v>96</v>
      </c>
      <c r="C20" s="24"/>
      <c r="D20" s="32"/>
      <c r="E20" s="32"/>
      <c r="F20" s="32"/>
      <c r="G20" s="32"/>
      <c r="H20" s="32"/>
      <c r="I20" s="32"/>
      <c r="J20" s="32"/>
      <c r="K20" s="32"/>
      <c r="L20" s="32"/>
      <c r="M20" s="25"/>
    </row>
    <row r="21" spans="2:13" ht="15" customHeight="1" x14ac:dyDescent="0.25">
      <c r="B21" s="319" t="s">
        <v>94</v>
      </c>
      <c r="C21" s="313">
        <f>C18</f>
        <v>0.33581</v>
      </c>
      <c r="D21" s="33"/>
      <c r="E21" s="305">
        <v>9.3000000000000007</v>
      </c>
      <c r="F21" s="33"/>
      <c r="G21" s="33"/>
      <c r="H21" s="305"/>
      <c r="I21" s="33"/>
      <c r="J21" s="33"/>
      <c r="K21" s="305"/>
      <c r="L21" s="33"/>
      <c r="M21" s="56"/>
    </row>
    <row r="22" spans="2:13" ht="15" customHeight="1" x14ac:dyDescent="0.25">
      <c r="B22" s="319"/>
      <c r="C22" s="313"/>
      <c r="D22" s="305">
        <f>(C21-C23)*1000</f>
        <v>12.000000000000011</v>
      </c>
      <c r="E22" s="305"/>
      <c r="F22" s="305">
        <f>(E21+E23)/2</f>
        <v>11.600000000000001</v>
      </c>
      <c r="G22" s="305">
        <f>F22*D22</f>
        <v>139.20000000000013</v>
      </c>
      <c r="H22" s="305"/>
      <c r="I22" s="305"/>
      <c r="J22" s="305"/>
      <c r="K22" s="305"/>
      <c r="L22" s="305"/>
      <c r="M22" s="306"/>
    </row>
    <row r="23" spans="2:13" ht="15" customHeight="1" x14ac:dyDescent="0.25">
      <c r="B23" s="314" t="s">
        <v>97</v>
      </c>
      <c r="C23" s="313">
        <v>0.32380999999999999</v>
      </c>
      <c r="D23" s="305"/>
      <c r="E23" s="305">
        <v>13.9</v>
      </c>
      <c r="F23" s="305"/>
      <c r="G23" s="305"/>
      <c r="H23" s="305"/>
      <c r="I23" s="305"/>
      <c r="J23" s="305"/>
      <c r="K23" s="305"/>
      <c r="L23" s="305"/>
      <c r="M23" s="306"/>
    </row>
    <row r="24" spans="2:13" ht="15" customHeight="1" x14ac:dyDescent="0.25">
      <c r="B24" s="314"/>
      <c r="C24" s="313"/>
      <c r="D24" s="305">
        <f>(C23-C25)*1000</f>
        <v>13.669999999999959</v>
      </c>
      <c r="E24" s="305"/>
      <c r="F24" s="305">
        <f>(E23+E25)/2</f>
        <v>8.6999999999999993</v>
      </c>
      <c r="G24" s="305">
        <f t="shared" ref="G24" si="0">F24*D24</f>
        <v>118.92899999999963</v>
      </c>
      <c r="H24" s="305"/>
      <c r="I24" s="305"/>
      <c r="J24" s="305"/>
      <c r="K24" s="305"/>
      <c r="L24" s="305"/>
      <c r="M24" s="306"/>
    </row>
    <row r="25" spans="2:13" ht="15" customHeight="1" x14ac:dyDescent="0.25">
      <c r="B25" s="314" t="s">
        <v>98</v>
      </c>
      <c r="C25" s="313">
        <v>0.31014000000000003</v>
      </c>
      <c r="D25" s="305"/>
      <c r="E25" s="305">
        <v>3.5</v>
      </c>
      <c r="F25" s="305"/>
      <c r="G25" s="305"/>
      <c r="H25" s="305"/>
      <c r="I25" s="305"/>
      <c r="J25" s="305"/>
      <c r="K25" s="305"/>
      <c r="L25" s="305"/>
      <c r="M25" s="306"/>
    </row>
    <row r="26" spans="2:13" ht="15" customHeight="1" x14ac:dyDescent="0.25">
      <c r="B26" s="314"/>
      <c r="C26" s="313"/>
      <c r="D26" s="305">
        <f>(C25-C27)*1000</f>
        <v>10.260000000000048</v>
      </c>
      <c r="E26" s="305"/>
      <c r="F26" s="305">
        <f>(E25+E27)/2</f>
        <v>3.5</v>
      </c>
      <c r="G26" s="305">
        <f t="shared" ref="G26" si="1">F26*D26</f>
        <v>35.910000000000167</v>
      </c>
      <c r="H26" s="305"/>
      <c r="I26" s="305"/>
      <c r="J26" s="305"/>
      <c r="K26" s="305"/>
      <c r="L26" s="305"/>
      <c r="M26" s="306"/>
    </row>
    <row r="27" spans="2:13" ht="15" customHeight="1" x14ac:dyDescent="0.25">
      <c r="B27" s="339" t="s">
        <v>142</v>
      </c>
      <c r="C27" s="313">
        <v>0.29987999999999998</v>
      </c>
      <c r="D27" s="305"/>
      <c r="E27" s="305">
        <v>3.5</v>
      </c>
      <c r="F27" s="305"/>
      <c r="G27" s="305"/>
      <c r="H27" s="305"/>
      <c r="I27" s="305"/>
      <c r="J27" s="305"/>
      <c r="K27" s="305"/>
      <c r="L27" s="305"/>
      <c r="M27" s="306"/>
    </row>
    <row r="28" spans="2:13" ht="15" customHeight="1" x14ac:dyDescent="0.25">
      <c r="B28" s="339"/>
      <c r="C28" s="313"/>
      <c r="D28" s="33"/>
      <c r="E28" s="305"/>
      <c r="F28" s="33"/>
      <c r="G28" s="33"/>
      <c r="H28" s="305"/>
      <c r="I28" s="33"/>
      <c r="J28" s="33"/>
      <c r="K28" s="305"/>
      <c r="L28" s="33"/>
      <c r="M28" s="56"/>
    </row>
    <row r="29" spans="2:13" ht="15" customHeight="1" x14ac:dyDescent="0.25">
      <c r="B29" s="26" t="s">
        <v>106</v>
      </c>
      <c r="C29" s="24"/>
      <c r="D29" s="32"/>
      <c r="E29" s="32"/>
      <c r="F29" s="32"/>
      <c r="G29" s="32"/>
      <c r="H29" s="32"/>
      <c r="I29" s="32"/>
      <c r="J29" s="32"/>
      <c r="K29" s="32"/>
      <c r="L29" s="32"/>
      <c r="M29" s="25"/>
    </row>
    <row r="30" spans="2:13" ht="15" customHeight="1" x14ac:dyDescent="0.25">
      <c r="B30" s="339" t="s">
        <v>142</v>
      </c>
      <c r="C30" s="313">
        <v>0.29987999999999998</v>
      </c>
      <c r="D30" s="34"/>
      <c r="E30" s="309">
        <v>3.5</v>
      </c>
      <c r="F30" s="33"/>
      <c r="G30" s="33"/>
      <c r="H30" s="309"/>
      <c r="I30" s="35"/>
      <c r="J30" s="35"/>
      <c r="K30" s="309"/>
      <c r="L30" s="35"/>
      <c r="M30" s="57"/>
    </row>
    <row r="31" spans="2:13" ht="15" customHeight="1" x14ac:dyDescent="0.25">
      <c r="B31" s="339"/>
      <c r="C31" s="313"/>
      <c r="D31" s="305">
        <f>(C30-C32)*1000</f>
        <v>10.709999999999997</v>
      </c>
      <c r="E31" s="309"/>
      <c r="F31" s="307">
        <f>(E30+E32)/2</f>
        <v>2.6</v>
      </c>
      <c r="G31" s="305">
        <f>D31*F31</f>
        <v>27.845999999999993</v>
      </c>
      <c r="H31" s="309"/>
      <c r="I31" s="307"/>
      <c r="J31" s="305"/>
      <c r="K31" s="309"/>
      <c r="L31" s="307"/>
      <c r="M31" s="327"/>
    </row>
    <row r="32" spans="2:13" ht="15" customHeight="1" x14ac:dyDescent="0.25">
      <c r="B32" s="314" t="s">
        <v>100</v>
      </c>
      <c r="C32" s="311">
        <v>0.28916999999999998</v>
      </c>
      <c r="D32" s="305"/>
      <c r="E32" s="305">
        <v>1.7</v>
      </c>
      <c r="F32" s="308"/>
      <c r="G32" s="305"/>
      <c r="H32" s="305"/>
      <c r="I32" s="308"/>
      <c r="J32" s="305"/>
      <c r="K32" s="305"/>
      <c r="L32" s="308"/>
      <c r="M32" s="329"/>
    </row>
    <row r="33" spans="2:13" ht="15" customHeight="1" x14ac:dyDescent="0.25">
      <c r="B33" s="314"/>
      <c r="C33" s="311"/>
      <c r="D33" s="305">
        <f>(C32-C34)*1000</f>
        <v>17.999999999999961</v>
      </c>
      <c r="E33" s="305"/>
      <c r="F33" s="307">
        <f>(E32+E34)/2</f>
        <v>1.7999999999999998</v>
      </c>
      <c r="G33" s="305">
        <f t="shared" ref="G33" si="2">D33*F33</f>
        <v>32.399999999999928</v>
      </c>
      <c r="H33" s="305"/>
      <c r="I33" s="307"/>
      <c r="J33" s="305"/>
      <c r="K33" s="305"/>
      <c r="L33" s="307"/>
      <c r="M33" s="327"/>
    </row>
    <row r="34" spans="2:13" ht="15" customHeight="1" x14ac:dyDescent="0.25">
      <c r="B34" s="314" t="s">
        <v>101</v>
      </c>
      <c r="C34" s="311">
        <v>0.27117000000000002</v>
      </c>
      <c r="D34" s="305"/>
      <c r="E34" s="309">
        <v>1.9</v>
      </c>
      <c r="F34" s="308"/>
      <c r="G34" s="305"/>
      <c r="H34" s="305"/>
      <c r="I34" s="308"/>
      <c r="J34" s="305"/>
      <c r="K34" s="305"/>
      <c r="L34" s="308"/>
      <c r="M34" s="329"/>
    </row>
    <row r="35" spans="2:13" ht="15" customHeight="1" x14ac:dyDescent="0.25">
      <c r="B35" s="314"/>
      <c r="C35" s="311"/>
      <c r="D35" s="305">
        <f>(C34-C36)*1000</f>
        <v>12.000000000000011</v>
      </c>
      <c r="E35" s="309"/>
      <c r="F35" s="307">
        <f t="shared" ref="F35" si="3">(E34+E36)/2</f>
        <v>2.2999999999999998</v>
      </c>
      <c r="G35" s="305">
        <f t="shared" ref="G35" si="4">D35*F35</f>
        <v>27.600000000000023</v>
      </c>
      <c r="H35" s="305"/>
      <c r="I35" s="307"/>
      <c r="J35" s="305"/>
      <c r="K35" s="305"/>
      <c r="L35" s="307"/>
      <c r="M35" s="327"/>
    </row>
    <row r="36" spans="2:13" ht="15" customHeight="1" x14ac:dyDescent="0.25">
      <c r="B36" s="314" t="s">
        <v>102</v>
      </c>
      <c r="C36" s="311">
        <v>0.25917000000000001</v>
      </c>
      <c r="D36" s="305"/>
      <c r="E36" s="309">
        <v>2.7</v>
      </c>
      <c r="F36" s="308"/>
      <c r="G36" s="305"/>
      <c r="H36" s="305"/>
      <c r="I36" s="308"/>
      <c r="J36" s="305"/>
      <c r="K36" s="305"/>
      <c r="L36" s="308"/>
      <c r="M36" s="329"/>
    </row>
    <row r="37" spans="2:13" ht="15" customHeight="1" x14ac:dyDescent="0.25">
      <c r="B37" s="314"/>
      <c r="C37" s="311"/>
      <c r="D37" s="305">
        <f>(C36-C38)*1000</f>
        <v>24.000000000000021</v>
      </c>
      <c r="E37" s="309"/>
      <c r="F37" s="307">
        <f>(E36+E38)/2</f>
        <v>3.1</v>
      </c>
      <c r="G37" s="305">
        <f t="shared" ref="G37" si="5">D37*F37</f>
        <v>74.400000000000063</v>
      </c>
      <c r="H37" s="305"/>
      <c r="I37" s="307"/>
      <c r="J37" s="305"/>
      <c r="K37" s="305"/>
      <c r="L37" s="307"/>
      <c r="M37" s="327"/>
    </row>
    <row r="38" spans="2:13" ht="15" customHeight="1" x14ac:dyDescent="0.25">
      <c r="B38" s="314" t="s">
        <v>103</v>
      </c>
      <c r="C38" s="313">
        <v>0.23516999999999999</v>
      </c>
      <c r="D38" s="305"/>
      <c r="E38" s="305">
        <v>3.5</v>
      </c>
      <c r="F38" s="308"/>
      <c r="G38" s="305"/>
      <c r="H38" s="305"/>
      <c r="I38" s="308"/>
      <c r="J38" s="305"/>
      <c r="K38" s="305"/>
      <c r="L38" s="308"/>
      <c r="M38" s="329"/>
    </row>
    <row r="39" spans="2:13" ht="15" customHeight="1" x14ac:dyDescent="0.25">
      <c r="B39" s="314"/>
      <c r="C39" s="313"/>
      <c r="D39" s="305">
        <f>(C38-C40)*1000</f>
        <v>11.999999999999982</v>
      </c>
      <c r="E39" s="305"/>
      <c r="F39" s="307">
        <f t="shared" ref="F39" si="6">(E38+E40)/2</f>
        <v>3.55</v>
      </c>
      <c r="G39" s="305">
        <f t="shared" ref="G39" si="7">D39*F39</f>
        <v>42.599999999999937</v>
      </c>
      <c r="H39" s="305"/>
      <c r="I39" s="307"/>
      <c r="J39" s="305"/>
      <c r="K39" s="305"/>
      <c r="L39" s="307"/>
      <c r="M39" s="327"/>
    </row>
    <row r="40" spans="2:13" ht="15" customHeight="1" x14ac:dyDescent="0.25">
      <c r="B40" s="314" t="s">
        <v>104</v>
      </c>
      <c r="C40" s="313">
        <v>0.22317000000000001</v>
      </c>
      <c r="D40" s="305"/>
      <c r="E40" s="305">
        <v>3.6</v>
      </c>
      <c r="F40" s="308"/>
      <c r="G40" s="305"/>
      <c r="H40" s="305"/>
      <c r="I40" s="308"/>
      <c r="J40" s="305"/>
      <c r="K40" s="305"/>
      <c r="L40" s="308"/>
      <c r="M40" s="329"/>
    </row>
    <row r="41" spans="2:13" ht="15" customHeight="1" x14ac:dyDescent="0.25">
      <c r="B41" s="314"/>
      <c r="C41" s="313"/>
      <c r="D41" s="305">
        <f>(C40-C42)*1000</f>
        <v>18.000000000000014</v>
      </c>
      <c r="E41" s="305"/>
      <c r="F41" s="307">
        <f t="shared" ref="F41" si="8">(E40+E42)/2</f>
        <v>4.4000000000000004</v>
      </c>
      <c r="G41" s="305">
        <f t="shared" ref="G41" si="9">D41*F41</f>
        <v>79.200000000000074</v>
      </c>
      <c r="H41" s="305"/>
      <c r="I41" s="307"/>
      <c r="J41" s="305"/>
      <c r="K41" s="305"/>
      <c r="L41" s="307"/>
      <c r="M41" s="327"/>
    </row>
    <row r="42" spans="2:13" ht="15" customHeight="1" x14ac:dyDescent="0.25">
      <c r="B42" s="314" t="s">
        <v>12</v>
      </c>
      <c r="C42" s="313">
        <v>0.20516999999999999</v>
      </c>
      <c r="D42" s="305"/>
      <c r="E42" s="305">
        <v>5.2</v>
      </c>
      <c r="F42" s="308"/>
      <c r="G42" s="305"/>
      <c r="H42" s="305"/>
      <c r="I42" s="308"/>
      <c r="J42" s="305"/>
      <c r="K42" s="305"/>
      <c r="L42" s="308"/>
      <c r="M42" s="329"/>
    </row>
    <row r="43" spans="2:13" ht="15" customHeight="1" x14ac:dyDescent="0.25">
      <c r="B43" s="316"/>
      <c r="C43" s="317"/>
      <c r="D43" s="305">
        <f>(C42-C44)*1000</f>
        <v>3.8499999999999925</v>
      </c>
      <c r="E43" s="312"/>
      <c r="F43" s="307">
        <f t="shared" ref="F43" si="10">(E42+E44)/2</f>
        <v>5.2</v>
      </c>
      <c r="G43" s="305">
        <f t="shared" ref="G43" si="11">D43*F43</f>
        <v>20.01999999999996</v>
      </c>
      <c r="H43" s="305"/>
      <c r="I43" s="307"/>
      <c r="J43" s="305"/>
      <c r="K43" s="305"/>
      <c r="L43" s="307"/>
      <c r="M43" s="327"/>
    </row>
    <row r="44" spans="2:13" ht="15" customHeight="1" x14ac:dyDescent="0.25">
      <c r="B44" s="315" t="s">
        <v>105</v>
      </c>
      <c r="C44" s="313">
        <v>0.20132</v>
      </c>
      <c r="D44" s="305"/>
      <c r="E44" s="305">
        <v>5.2</v>
      </c>
      <c r="F44" s="308"/>
      <c r="G44" s="305"/>
      <c r="H44" s="305"/>
      <c r="I44" s="308"/>
      <c r="J44" s="305"/>
      <c r="K44" s="305"/>
      <c r="L44" s="308"/>
      <c r="M44" s="329"/>
    </row>
    <row r="45" spans="2:13" ht="15" customHeight="1" x14ac:dyDescent="0.25">
      <c r="B45" s="315"/>
      <c r="C45" s="313"/>
      <c r="D45" s="52"/>
      <c r="E45" s="305"/>
      <c r="F45" s="51"/>
      <c r="G45" s="51"/>
      <c r="H45" s="305"/>
      <c r="I45" s="51"/>
      <c r="J45" s="51"/>
      <c r="K45" s="305"/>
      <c r="L45" s="33"/>
      <c r="M45" s="56"/>
    </row>
    <row r="46" spans="2:13" ht="15" customHeight="1" thickBot="1" x14ac:dyDescent="0.3">
      <c r="B46" s="27"/>
      <c r="C46" s="28"/>
      <c r="D46" s="36"/>
      <c r="E46" s="36"/>
      <c r="F46" s="36"/>
      <c r="G46" s="36"/>
      <c r="H46" s="36"/>
      <c r="I46" s="36"/>
      <c r="J46" s="36"/>
      <c r="K46" s="36"/>
      <c r="L46" s="36"/>
      <c r="M46" s="29"/>
    </row>
    <row r="47" spans="2:13" ht="15" customHeight="1" x14ac:dyDescent="0.25">
      <c r="B47" s="27"/>
      <c r="C47" s="28"/>
      <c r="D47" s="36"/>
      <c r="E47" s="36"/>
      <c r="F47" s="36"/>
      <c r="G47" s="330">
        <f>SUM(G16:G45)</f>
        <v>813.09249999999986</v>
      </c>
      <c r="H47" s="36"/>
      <c r="I47" s="37"/>
      <c r="J47" s="330">
        <f>SUM(J16:J45)</f>
        <v>0</v>
      </c>
      <c r="K47" s="36"/>
      <c r="L47" s="36"/>
      <c r="M47" s="330">
        <f>SUM(M16:M45)</f>
        <v>0</v>
      </c>
    </row>
    <row r="48" spans="2:13" ht="15" customHeight="1" thickBot="1" x14ac:dyDescent="0.3">
      <c r="B48" s="30"/>
      <c r="C48" s="31"/>
      <c r="D48" s="38"/>
      <c r="E48" s="38"/>
      <c r="F48" s="38"/>
      <c r="G48" s="331"/>
      <c r="H48" s="38"/>
      <c r="I48" s="39"/>
      <c r="J48" s="331"/>
      <c r="K48" s="38"/>
      <c r="L48" s="38"/>
      <c r="M48" s="331"/>
    </row>
    <row r="159" spans="2:5" x14ac:dyDescent="0.25">
      <c r="B159" s="212"/>
      <c r="C159" s="212"/>
      <c r="D159" s="212"/>
      <c r="E159" s="212"/>
    </row>
    <row r="170" spans="3:5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mergeCells count="158">
    <mergeCell ref="B11:C12"/>
    <mergeCell ref="D11:D13"/>
    <mergeCell ref="E11:G11"/>
    <mergeCell ref="H11:J11"/>
    <mergeCell ref="K11:M11"/>
    <mergeCell ref="E12:G12"/>
    <mergeCell ref="H12:J12"/>
    <mergeCell ref="K12:M12"/>
    <mergeCell ref="H16:H17"/>
    <mergeCell ref="I16:I18"/>
    <mergeCell ref="J16:J18"/>
    <mergeCell ref="K16:K17"/>
    <mergeCell ref="L16:L18"/>
    <mergeCell ref="M16:M18"/>
    <mergeCell ref="H18:H19"/>
    <mergeCell ref="K18:K19"/>
    <mergeCell ref="B16:B17"/>
    <mergeCell ref="C16:C17"/>
    <mergeCell ref="D16:D18"/>
    <mergeCell ref="E16:E17"/>
    <mergeCell ref="F16:F18"/>
    <mergeCell ref="G16:G18"/>
    <mergeCell ref="B18:B19"/>
    <mergeCell ref="C18:C19"/>
    <mergeCell ref="E18:E19"/>
    <mergeCell ref="L22:L23"/>
    <mergeCell ref="M22:M23"/>
    <mergeCell ref="B23:B24"/>
    <mergeCell ref="C23:C24"/>
    <mergeCell ref="E23:E24"/>
    <mergeCell ref="H23:H24"/>
    <mergeCell ref="K23:K24"/>
    <mergeCell ref="D24:D25"/>
    <mergeCell ref="F24:F25"/>
    <mergeCell ref="G24:G25"/>
    <mergeCell ref="B21:B22"/>
    <mergeCell ref="C21:C22"/>
    <mergeCell ref="E21:E22"/>
    <mergeCell ref="H21:H22"/>
    <mergeCell ref="K21:K22"/>
    <mergeCell ref="D22:D23"/>
    <mergeCell ref="F22:F23"/>
    <mergeCell ref="G22:G23"/>
    <mergeCell ref="I22:I23"/>
    <mergeCell ref="J22:J23"/>
    <mergeCell ref="L26:L27"/>
    <mergeCell ref="M26:M27"/>
    <mergeCell ref="I24:I25"/>
    <mergeCell ref="J24:J25"/>
    <mergeCell ref="L24:L25"/>
    <mergeCell ref="M24:M25"/>
    <mergeCell ref="B25:B26"/>
    <mergeCell ref="C25:C26"/>
    <mergeCell ref="E25:E26"/>
    <mergeCell ref="H25:H26"/>
    <mergeCell ref="K25:K26"/>
    <mergeCell ref="D26:D27"/>
    <mergeCell ref="B27:B28"/>
    <mergeCell ref="C27:C28"/>
    <mergeCell ref="E27:E28"/>
    <mergeCell ref="H27:H28"/>
    <mergeCell ref="K27:K28"/>
    <mergeCell ref="B30:B31"/>
    <mergeCell ref="C30:C31"/>
    <mergeCell ref="E30:E31"/>
    <mergeCell ref="H30:H31"/>
    <mergeCell ref="K30:K31"/>
    <mergeCell ref="F26:F27"/>
    <mergeCell ref="G26:G27"/>
    <mergeCell ref="I26:I27"/>
    <mergeCell ref="J26:J27"/>
    <mergeCell ref="M31:M32"/>
    <mergeCell ref="B32:B33"/>
    <mergeCell ref="C32:C33"/>
    <mergeCell ref="E32:E33"/>
    <mergeCell ref="H32:H33"/>
    <mergeCell ref="K32:K33"/>
    <mergeCell ref="D33:D34"/>
    <mergeCell ref="F33:F34"/>
    <mergeCell ref="G33:G34"/>
    <mergeCell ref="I33:I34"/>
    <mergeCell ref="D31:D32"/>
    <mergeCell ref="F31:F32"/>
    <mergeCell ref="G31:G32"/>
    <mergeCell ref="I31:I32"/>
    <mergeCell ref="J31:J32"/>
    <mergeCell ref="L31:L32"/>
    <mergeCell ref="J33:J34"/>
    <mergeCell ref="L33:L34"/>
    <mergeCell ref="M33:M34"/>
    <mergeCell ref="B34:B35"/>
    <mergeCell ref="C34:C35"/>
    <mergeCell ref="E34:E35"/>
    <mergeCell ref="H34:H35"/>
    <mergeCell ref="K34:K35"/>
    <mergeCell ref="D35:D36"/>
    <mergeCell ref="F35:F36"/>
    <mergeCell ref="G35:G36"/>
    <mergeCell ref="I35:I36"/>
    <mergeCell ref="J35:J36"/>
    <mergeCell ref="L35:L36"/>
    <mergeCell ref="M35:M36"/>
    <mergeCell ref="B36:B37"/>
    <mergeCell ref="C36:C37"/>
    <mergeCell ref="E36:E37"/>
    <mergeCell ref="H36:H37"/>
    <mergeCell ref="K36:K37"/>
    <mergeCell ref="M37:M38"/>
    <mergeCell ref="B38:B39"/>
    <mergeCell ref="C38:C39"/>
    <mergeCell ref="E38:E39"/>
    <mergeCell ref="H38:H39"/>
    <mergeCell ref="K38:K39"/>
    <mergeCell ref="D39:D40"/>
    <mergeCell ref="F39:F40"/>
    <mergeCell ref="G39:G40"/>
    <mergeCell ref="I39:I40"/>
    <mergeCell ref="D37:D38"/>
    <mergeCell ref="F37:F38"/>
    <mergeCell ref="G37:G38"/>
    <mergeCell ref="I37:I38"/>
    <mergeCell ref="J37:J38"/>
    <mergeCell ref="L37:L38"/>
    <mergeCell ref="J39:J40"/>
    <mergeCell ref="L39:L40"/>
    <mergeCell ref="M39:M40"/>
    <mergeCell ref="B40:B41"/>
    <mergeCell ref="C40:C41"/>
    <mergeCell ref="E40:E41"/>
    <mergeCell ref="H40:H41"/>
    <mergeCell ref="K40:K41"/>
    <mergeCell ref="D41:D42"/>
    <mergeCell ref="F41:F42"/>
    <mergeCell ref="G41:G42"/>
    <mergeCell ref="I41:I42"/>
    <mergeCell ref="J41:J42"/>
    <mergeCell ref="L41:L42"/>
    <mergeCell ref="M41:M42"/>
    <mergeCell ref="B42:B43"/>
    <mergeCell ref="C42:C43"/>
    <mergeCell ref="E42:E43"/>
    <mergeCell ref="H42:H43"/>
    <mergeCell ref="K42:K43"/>
    <mergeCell ref="G47:G48"/>
    <mergeCell ref="J47:J48"/>
    <mergeCell ref="M47:M48"/>
    <mergeCell ref="M43:M44"/>
    <mergeCell ref="B44:B45"/>
    <mergeCell ref="C44:C45"/>
    <mergeCell ref="E44:E45"/>
    <mergeCell ref="H44:H45"/>
    <mergeCell ref="K44:K45"/>
    <mergeCell ref="D43:D44"/>
    <mergeCell ref="F43:F44"/>
    <mergeCell ref="G43:G44"/>
    <mergeCell ref="I43:I44"/>
    <mergeCell ref="J43:J44"/>
    <mergeCell ref="L43:L4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&amp;L&amp;F&amp;C&amp;A&amp;R&amp;P/&amp;N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F0C26-69CF-48CF-8A0F-7E8A651870A4}">
  <dimension ref="B2:U244"/>
  <sheetViews>
    <sheetView zoomScale="160" zoomScaleNormal="160" workbookViewId="0">
      <selection activeCell="D260" sqref="D238:D260"/>
    </sheetView>
  </sheetViews>
  <sheetFormatPr defaultRowHeight="15" x14ac:dyDescent="0.25"/>
  <cols>
    <col min="1" max="1" width="2.85546875" style="1" customWidth="1"/>
    <col min="2" max="2" width="4.140625" style="1" customWidth="1"/>
    <col min="3" max="3" width="10.85546875" style="1" customWidth="1"/>
    <col min="4" max="4" width="13" style="1" customWidth="1"/>
    <col min="5" max="5" width="29" style="1" customWidth="1"/>
    <col min="6" max="6" width="7.42578125" style="1" customWidth="1"/>
    <col min="7" max="7" width="6.7109375" style="1" customWidth="1"/>
    <col min="8" max="8" width="8.7109375" style="1" customWidth="1"/>
    <col min="9" max="9" width="7.5703125" style="1" customWidth="1"/>
    <col min="10" max="10" width="6.85546875" style="1" customWidth="1"/>
    <col min="11" max="11" width="8.5703125" style="1" customWidth="1"/>
    <col min="12" max="12" width="7.7109375" style="1" customWidth="1"/>
    <col min="13" max="13" width="6.85546875" style="1" customWidth="1"/>
    <col min="14" max="15" width="8.42578125" style="1" customWidth="1"/>
    <col min="16" max="16" width="11.42578125" style="1" bestFit="1" customWidth="1"/>
    <col min="17" max="17" width="9.140625" style="1"/>
    <col min="18" max="18" width="11.42578125" style="1" bestFit="1" customWidth="1"/>
    <col min="19" max="19" width="9.140625" style="1"/>
    <col min="20" max="20" width="11.28515625" style="1" customWidth="1"/>
    <col min="21" max="16384" width="9.140625" style="1"/>
  </cols>
  <sheetData>
    <row r="2" spans="2:21" ht="15.75" x14ac:dyDescent="0.25">
      <c r="B2" s="2" t="s">
        <v>31</v>
      </c>
      <c r="C2" s="45"/>
      <c r="D2" s="45"/>
    </row>
    <row r="3" spans="2:21" ht="15.75" x14ac:dyDescent="0.25">
      <c r="B3" s="2" t="s">
        <v>32</v>
      </c>
      <c r="C3" s="45"/>
      <c r="D3" s="45"/>
    </row>
    <row r="4" spans="2:21" ht="15.75" x14ac:dyDescent="0.25">
      <c r="B4" s="2"/>
    </row>
    <row r="5" spans="2:21" ht="15.75" x14ac:dyDescent="0.25">
      <c r="B5" s="4" t="s">
        <v>30</v>
      </c>
    </row>
    <row r="6" spans="2:21" x14ac:dyDescent="0.25">
      <c r="B6" s="5" t="s">
        <v>124</v>
      </c>
    </row>
    <row r="7" spans="2:21" x14ac:dyDescent="0.25">
      <c r="B7" s="6" t="s">
        <v>1</v>
      </c>
    </row>
    <row r="8" spans="2:21" x14ac:dyDescent="0.25">
      <c r="B8" s="6" t="s">
        <v>2</v>
      </c>
    </row>
    <row r="9" spans="2:21" x14ac:dyDescent="0.25">
      <c r="B9" s="7" t="s">
        <v>284</v>
      </c>
    </row>
    <row r="10" spans="2:21" ht="8.25" customHeight="1" x14ac:dyDescent="0.25">
      <c r="B10" s="9"/>
      <c r="C10" s="9"/>
      <c r="D10" s="9"/>
      <c r="E10" s="9"/>
      <c r="F10" s="10"/>
      <c r="G10" s="12"/>
      <c r="H10" s="9"/>
      <c r="I10" s="12"/>
      <c r="J10" s="9"/>
      <c r="K10" s="12"/>
      <c r="L10" s="9"/>
      <c r="M10" s="12"/>
      <c r="N10" s="9"/>
      <c r="O10" s="13"/>
      <c r="P10" s="11"/>
      <c r="Q10" s="12"/>
      <c r="R10" s="9"/>
      <c r="S10" s="12"/>
      <c r="T10" s="9"/>
      <c r="U10" s="12"/>
    </row>
    <row r="11" spans="2:21" x14ac:dyDescent="0.25">
      <c r="B11" s="12"/>
      <c r="C11" s="9"/>
      <c r="D11" s="9"/>
      <c r="E11" s="12"/>
      <c r="F11" s="9"/>
      <c r="G11" s="12"/>
    </row>
    <row r="12" spans="2:21" ht="45" customHeight="1" x14ac:dyDescent="0.25">
      <c r="B12" s="12"/>
      <c r="C12" s="76" t="s">
        <v>503</v>
      </c>
      <c r="D12" s="77"/>
      <c r="E12" s="78" t="s">
        <v>287</v>
      </c>
      <c r="F12" s="77"/>
      <c r="G12" s="12"/>
    </row>
    <row r="13" spans="2:21" ht="23.25" customHeight="1" x14ac:dyDescent="0.25">
      <c r="B13" s="12"/>
      <c r="C13" s="77" t="s">
        <v>265</v>
      </c>
      <c r="D13" s="77" t="s">
        <v>275</v>
      </c>
      <c r="E13" s="79" t="s">
        <v>267</v>
      </c>
      <c r="F13" s="77" t="s">
        <v>268</v>
      </c>
      <c r="G13" s="12"/>
    </row>
    <row r="14" spans="2:21" x14ac:dyDescent="0.25">
      <c r="B14" s="12"/>
      <c r="C14" s="77" t="s">
        <v>266</v>
      </c>
      <c r="D14" s="80">
        <v>1</v>
      </c>
      <c r="E14" s="79"/>
      <c r="F14" s="77">
        <v>120.53</v>
      </c>
      <c r="G14" s="12"/>
    </row>
    <row r="15" spans="2:21" ht="15" customHeight="1" x14ac:dyDescent="0.25">
      <c r="C15" s="77" t="s">
        <v>269</v>
      </c>
      <c r="D15" s="80" t="s">
        <v>276</v>
      </c>
      <c r="E15" s="62" t="s">
        <v>282</v>
      </c>
      <c r="F15" s="62">
        <f>37.87+37.63+36.88+36.36+35.72</f>
        <v>184.46</v>
      </c>
    </row>
    <row r="16" spans="2:21" ht="15" customHeight="1" x14ac:dyDescent="0.25">
      <c r="C16" s="77" t="s">
        <v>270</v>
      </c>
      <c r="D16" s="80">
        <v>7.8</v>
      </c>
      <c r="E16" s="81" t="s">
        <v>543</v>
      </c>
      <c r="F16" s="62">
        <f>34.78+35.17</f>
        <v>69.95</v>
      </c>
    </row>
    <row r="17" spans="3:6" ht="15" customHeight="1" x14ac:dyDescent="0.25">
      <c r="C17" s="77" t="s">
        <v>271</v>
      </c>
      <c r="D17" s="80" t="s">
        <v>277</v>
      </c>
      <c r="E17" s="62" t="s">
        <v>281</v>
      </c>
      <c r="F17" s="62">
        <f>36.08+36.08+36.6+36.6+36.6</f>
        <v>181.95999999999998</v>
      </c>
    </row>
    <row r="18" spans="3:6" ht="15" customHeight="1" x14ac:dyDescent="0.25">
      <c r="C18" s="77" t="s">
        <v>272</v>
      </c>
      <c r="D18" s="80" t="s">
        <v>278</v>
      </c>
      <c r="E18" s="62">
        <v>144.9</v>
      </c>
      <c r="F18" s="62">
        <v>144.9</v>
      </c>
    </row>
    <row r="19" spans="3:6" ht="15" customHeight="1" x14ac:dyDescent="0.25">
      <c r="C19" s="77" t="s">
        <v>273</v>
      </c>
      <c r="D19" s="80" t="s">
        <v>279</v>
      </c>
      <c r="E19" s="62">
        <v>144.1</v>
      </c>
      <c r="F19" s="62">
        <v>144.1</v>
      </c>
    </row>
    <row r="20" spans="3:6" ht="15" customHeight="1" x14ac:dyDescent="0.25">
      <c r="C20" s="77" t="s">
        <v>274</v>
      </c>
      <c r="D20" s="80" t="s">
        <v>280</v>
      </c>
      <c r="E20" s="62">
        <v>103.8</v>
      </c>
      <c r="F20" s="62">
        <v>103.8</v>
      </c>
    </row>
    <row r="21" spans="3:6" ht="15" customHeight="1" x14ac:dyDescent="0.25">
      <c r="C21" s="82" t="s">
        <v>283</v>
      </c>
      <c r="D21" s="77"/>
      <c r="E21" s="62"/>
      <c r="F21" s="83">
        <f>SUM(F14:F20)</f>
        <v>949.69999999999993</v>
      </c>
    </row>
    <row r="22" spans="3:6" ht="15" customHeight="1" x14ac:dyDescent="0.25">
      <c r="C22" s="9"/>
      <c r="D22" s="9"/>
    </row>
    <row r="23" spans="3:6" ht="15" customHeight="1" x14ac:dyDescent="0.25">
      <c r="C23" s="9"/>
      <c r="D23" s="9"/>
    </row>
    <row r="24" spans="3:6" ht="15" customHeight="1" x14ac:dyDescent="0.25">
      <c r="C24" s="9"/>
      <c r="D24" s="9"/>
    </row>
    <row r="25" spans="3:6" ht="15" customHeight="1" x14ac:dyDescent="0.25">
      <c r="C25" s="9"/>
      <c r="D25" s="9"/>
    </row>
    <row r="26" spans="3:6" ht="15" customHeight="1" x14ac:dyDescent="0.25">
      <c r="C26" s="9"/>
      <c r="D26" s="9"/>
    </row>
    <row r="27" spans="3:6" ht="15" customHeight="1" x14ac:dyDescent="0.25">
      <c r="C27" s="9"/>
      <c r="D27" s="9"/>
    </row>
    <row r="28" spans="3:6" ht="15" customHeight="1" x14ac:dyDescent="0.25">
      <c r="C28" s="9"/>
      <c r="D28" s="9"/>
    </row>
    <row r="29" spans="3:6" ht="15" customHeight="1" x14ac:dyDescent="0.25"/>
    <row r="30" spans="3:6" ht="15" customHeight="1" x14ac:dyDescent="0.25"/>
    <row r="31" spans="3:6" ht="15" customHeight="1" x14ac:dyDescent="0.25"/>
    <row r="32" spans="3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159" spans="2:5" x14ac:dyDescent="0.25">
      <c r="B159" s="212"/>
      <c r="C159" s="212"/>
      <c r="D159" s="212"/>
      <c r="E159" s="212"/>
    </row>
    <row r="170" spans="3:5" x14ac:dyDescent="0.25">
      <c r="C170" s="212"/>
      <c r="D170" s="212"/>
      <c r="E170" s="212"/>
    </row>
    <row r="244" spans="2:5" x14ac:dyDescent="0.25">
      <c r="B244" s="212"/>
      <c r="C244" s="212"/>
      <c r="D244" s="212"/>
      <c r="E244" s="212"/>
    </row>
  </sheetData>
  <phoneticPr fontId="27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&amp;L&amp;F&amp;C&amp;A&amp;R&amp;P/&amp;N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A1DE6-46C6-414A-B341-D3F6C65AE435}">
  <dimension ref="A3:I35"/>
  <sheetViews>
    <sheetView zoomScale="120" zoomScaleNormal="120" workbookViewId="0">
      <selection activeCell="D260" sqref="D238:D260"/>
    </sheetView>
  </sheetViews>
  <sheetFormatPr defaultRowHeight="15" x14ac:dyDescent="0.25"/>
  <cols>
    <col min="1" max="1" width="13.5703125" style="1" customWidth="1"/>
    <col min="2" max="2" width="23.28515625" style="1" customWidth="1"/>
    <col min="3" max="7" width="9.28515625" style="1" customWidth="1"/>
    <col min="8" max="9" width="25.7109375" style="1" customWidth="1"/>
    <col min="10" max="16384" width="9.140625" style="1"/>
  </cols>
  <sheetData>
    <row r="3" spans="1:9" ht="23.25" x14ac:dyDescent="0.25">
      <c r="A3" s="252" t="s">
        <v>564</v>
      </c>
      <c r="B3" s="252"/>
    </row>
    <row r="5" spans="1:9" ht="31.5" customHeight="1" x14ac:dyDescent="0.25">
      <c r="A5" s="340" t="s">
        <v>565</v>
      </c>
      <c r="B5" s="340"/>
      <c r="C5" s="340"/>
      <c r="D5" s="340"/>
      <c r="E5" s="340"/>
      <c r="F5" s="340"/>
      <c r="G5" s="340"/>
    </row>
    <row r="6" spans="1:9" x14ac:dyDescent="0.25">
      <c r="A6" s="253" t="s">
        <v>566</v>
      </c>
      <c r="B6" s="253"/>
    </row>
    <row r="7" spans="1:9" x14ac:dyDescent="0.25">
      <c r="A7" s="358" t="s">
        <v>567</v>
      </c>
    </row>
    <row r="8" spans="1:9" x14ac:dyDescent="0.25">
      <c r="A8" s="84" t="s">
        <v>568</v>
      </c>
      <c r="B8" s="84" t="s">
        <v>569</v>
      </c>
      <c r="C8" s="84" t="s">
        <v>570</v>
      </c>
      <c r="D8" s="84" t="s">
        <v>571</v>
      </c>
      <c r="E8" s="254" t="s">
        <v>572</v>
      </c>
      <c r="F8" s="254" t="s">
        <v>573</v>
      </c>
      <c r="G8" s="254" t="s">
        <v>285</v>
      </c>
      <c r="H8" s="110"/>
      <c r="I8" s="110"/>
    </row>
    <row r="9" spans="1:9" x14ac:dyDescent="0.25">
      <c r="A9" s="48" t="s">
        <v>574</v>
      </c>
      <c r="B9" s="255" t="s">
        <v>286</v>
      </c>
      <c r="C9" s="1">
        <v>3.8</v>
      </c>
      <c r="D9" s="1">
        <v>0.74</v>
      </c>
      <c r="E9" s="1">
        <v>0.2</v>
      </c>
      <c r="G9" s="256">
        <f>C9*D9*E9</f>
        <v>0.56240000000000001</v>
      </c>
    </row>
    <row r="10" spans="1:9" x14ac:dyDescent="0.25">
      <c r="A10" s="48" t="s">
        <v>575</v>
      </c>
      <c r="B10" s="1" t="s">
        <v>576</v>
      </c>
      <c r="C10" s="1">
        <v>3.8</v>
      </c>
      <c r="D10" s="1">
        <v>0.6</v>
      </c>
      <c r="E10" s="1">
        <v>2.75</v>
      </c>
      <c r="G10" s="256">
        <f>C10*D10*E10</f>
        <v>6.27</v>
      </c>
    </row>
    <row r="11" spans="1:9" x14ac:dyDescent="0.25">
      <c r="A11" s="48" t="s">
        <v>577</v>
      </c>
      <c r="B11" s="1" t="s">
        <v>576</v>
      </c>
      <c r="D11" s="1">
        <v>1</v>
      </c>
      <c r="F11" s="1">
        <v>5.92</v>
      </c>
      <c r="G11" s="256">
        <f>D11*F11</f>
        <v>5.92</v>
      </c>
    </row>
    <row r="12" spans="1:9" x14ac:dyDescent="0.25">
      <c r="A12" s="48" t="s">
        <v>578</v>
      </c>
      <c r="B12" s="1" t="s">
        <v>579</v>
      </c>
      <c r="E12" s="1">
        <v>0.9</v>
      </c>
      <c r="F12" s="1">
        <v>32.04</v>
      </c>
      <c r="G12" s="256">
        <f>E12*F12</f>
        <v>28.835999999999999</v>
      </c>
    </row>
    <row r="13" spans="1:9" x14ac:dyDescent="0.25">
      <c r="A13" s="48" t="s">
        <v>578</v>
      </c>
      <c r="B13" s="1" t="s">
        <v>580</v>
      </c>
      <c r="E13" s="1">
        <v>0.65</v>
      </c>
      <c r="F13" s="1">
        <v>17.95</v>
      </c>
      <c r="G13" s="256">
        <f>E13*F13</f>
        <v>11.6675</v>
      </c>
    </row>
    <row r="14" spans="1:9" x14ac:dyDescent="0.25">
      <c r="A14" s="48" t="s">
        <v>581</v>
      </c>
      <c r="B14" s="1" t="s">
        <v>582</v>
      </c>
      <c r="C14" s="1">
        <v>2.8</v>
      </c>
      <c r="D14" s="1">
        <v>6</v>
      </c>
      <c r="E14" s="1">
        <v>0.6</v>
      </c>
      <c r="G14" s="256">
        <f>C14*D14*E14</f>
        <v>10.079999999999998</v>
      </c>
    </row>
    <row r="15" spans="1:9" x14ac:dyDescent="0.25">
      <c r="A15" s="48" t="s">
        <v>583</v>
      </c>
      <c r="B15" s="1" t="s">
        <v>584</v>
      </c>
      <c r="C15" s="1">
        <v>8.3000000000000007</v>
      </c>
      <c r="D15" s="1">
        <v>0.7</v>
      </c>
      <c r="E15" s="1">
        <v>2.5</v>
      </c>
      <c r="G15" s="256">
        <f>C15*D15*E15</f>
        <v>14.525000000000002</v>
      </c>
    </row>
    <row r="16" spans="1:9" x14ac:dyDescent="0.25">
      <c r="A16" s="48" t="s">
        <v>583</v>
      </c>
      <c r="B16" s="1" t="s">
        <v>585</v>
      </c>
      <c r="C16" s="1">
        <v>1.9</v>
      </c>
      <c r="D16" s="1">
        <v>0.5</v>
      </c>
      <c r="E16" s="1">
        <v>3.15</v>
      </c>
      <c r="G16" s="256">
        <f t="shared" ref="G16" si="0">C16*D16*E16</f>
        <v>2.9924999999999997</v>
      </c>
    </row>
    <row r="17" spans="1:7" x14ac:dyDescent="0.25">
      <c r="A17" s="48" t="s">
        <v>583</v>
      </c>
      <c r="B17" s="1" t="s">
        <v>586</v>
      </c>
      <c r="C17" s="1">
        <v>10.1</v>
      </c>
      <c r="D17" s="1">
        <v>0.16</v>
      </c>
      <c r="E17" s="1">
        <v>3.15</v>
      </c>
      <c r="G17" s="256">
        <f>C17*D17*E17</f>
        <v>5.0903999999999998</v>
      </c>
    </row>
    <row r="18" spans="1:7" x14ac:dyDescent="0.25">
      <c r="A18" s="48" t="s">
        <v>587</v>
      </c>
      <c r="B18" s="1" t="s">
        <v>588</v>
      </c>
      <c r="E18" s="1">
        <v>2.4</v>
      </c>
      <c r="F18" s="1">
        <v>3.83</v>
      </c>
      <c r="G18" s="256">
        <f>E18*F18</f>
        <v>9.1920000000000002</v>
      </c>
    </row>
    <row r="19" spans="1:7" x14ac:dyDescent="0.25">
      <c r="A19" s="48" t="s">
        <v>589</v>
      </c>
      <c r="B19" s="1" t="s">
        <v>584</v>
      </c>
      <c r="C19" s="1">
        <v>5.0999999999999996</v>
      </c>
      <c r="D19" s="1">
        <v>0.7</v>
      </c>
      <c r="E19" s="1">
        <v>2.5</v>
      </c>
      <c r="G19" s="256">
        <f>C19*D19*E19</f>
        <v>8.9249999999999989</v>
      </c>
    </row>
    <row r="20" spans="1:7" x14ac:dyDescent="0.25">
      <c r="A20" s="48" t="s">
        <v>590</v>
      </c>
      <c r="B20" s="1" t="s">
        <v>591</v>
      </c>
      <c r="C20" s="1">
        <v>3</v>
      </c>
      <c r="D20" s="1">
        <v>0.5</v>
      </c>
      <c r="E20" s="1">
        <v>2.5</v>
      </c>
      <c r="G20" s="256">
        <f>C20*D20*E20</f>
        <v>3.75</v>
      </c>
    </row>
    <row r="21" spans="1:7" x14ac:dyDescent="0.25">
      <c r="A21" s="48" t="s">
        <v>592</v>
      </c>
      <c r="B21" s="1" t="s">
        <v>593</v>
      </c>
      <c r="E21" s="1">
        <v>1.9</v>
      </c>
      <c r="F21" s="1">
        <v>0.48</v>
      </c>
      <c r="G21" s="256">
        <f>E21*F21</f>
        <v>0.91199999999999992</v>
      </c>
    </row>
    <row r="22" spans="1:7" x14ac:dyDescent="0.25">
      <c r="A22" s="48" t="s">
        <v>592</v>
      </c>
      <c r="B22" s="1" t="s">
        <v>593</v>
      </c>
      <c r="E22" s="1">
        <v>0.5</v>
      </c>
      <c r="F22" s="1">
        <v>0.32</v>
      </c>
      <c r="G22" s="256">
        <f>E22*F22</f>
        <v>0.16</v>
      </c>
    </row>
    <row r="23" spans="1:7" x14ac:dyDescent="0.25">
      <c r="A23" s="48" t="s">
        <v>594</v>
      </c>
      <c r="B23" s="1" t="s">
        <v>595</v>
      </c>
      <c r="E23" s="1">
        <v>2.7</v>
      </c>
      <c r="F23" s="1">
        <v>1.37</v>
      </c>
      <c r="G23" s="256">
        <f>E23*F23</f>
        <v>3.6990000000000007</v>
      </c>
    </row>
    <row r="24" spans="1:7" x14ac:dyDescent="0.25">
      <c r="A24" s="48" t="s">
        <v>594</v>
      </c>
      <c r="B24" s="1" t="s">
        <v>596</v>
      </c>
      <c r="C24" s="1">
        <v>0.6</v>
      </c>
      <c r="F24" s="1">
        <v>-0.45</v>
      </c>
      <c r="G24" s="256">
        <f>C24*F24</f>
        <v>-0.27</v>
      </c>
    </row>
    <row r="25" spans="1:7" x14ac:dyDescent="0.25">
      <c r="A25" s="48" t="s">
        <v>597</v>
      </c>
      <c r="B25" s="1" t="s">
        <v>598</v>
      </c>
      <c r="E25" s="1">
        <v>0.3</v>
      </c>
      <c r="F25" s="1">
        <v>7.84</v>
      </c>
      <c r="G25" s="256">
        <f>E25*F25</f>
        <v>2.3519999999999999</v>
      </c>
    </row>
    <row r="26" spans="1:7" x14ac:dyDescent="0.25">
      <c r="A26" s="48" t="s">
        <v>597</v>
      </c>
      <c r="B26" s="1" t="s">
        <v>598</v>
      </c>
      <c r="C26" s="1">
        <v>9.5</v>
      </c>
      <c r="D26" s="1">
        <v>0.3</v>
      </c>
      <c r="E26" s="1">
        <v>0.5</v>
      </c>
      <c r="G26" s="256">
        <f>C26*D26*E26</f>
        <v>1.425</v>
      </c>
    </row>
    <row r="27" spans="1:7" x14ac:dyDescent="0.25">
      <c r="A27" s="48" t="s">
        <v>599</v>
      </c>
      <c r="B27" s="1" t="s">
        <v>600</v>
      </c>
      <c r="E27" s="1">
        <v>0.3</v>
      </c>
      <c r="F27" s="1">
        <v>6.83</v>
      </c>
      <c r="G27" s="256">
        <f>E27*F27</f>
        <v>2.0489999999999999</v>
      </c>
    </row>
    <row r="28" spans="1:7" x14ac:dyDescent="0.25">
      <c r="A28" s="48" t="s">
        <v>599</v>
      </c>
      <c r="B28" s="1" t="s">
        <v>600</v>
      </c>
      <c r="C28" s="1">
        <v>0.5</v>
      </c>
      <c r="D28" s="1">
        <v>0.3</v>
      </c>
      <c r="E28" s="1">
        <v>0.5</v>
      </c>
      <c r="G28" s="256">
        <f>C28*D28*E28</f>
        <v>7.4999999999999997E-2</v>
      </c>
    </row>
    <row r="29" spans="1:7" x14ac:dyDescent="0.25">
      <c r="A29" s="48" t="s">
        <v>601</v>
      </c>
      <c r="B29" s="1" t="s">
        <v>602</v>
      </c>
      <c r="C29" s="1">
        <v>10.199999999999999</v>
      </c>
      <c r="D29" s="1">
        <v>0.64</v>
      </c>
      <c r="E29" s="1">
        <v>0.2</v>
      </c>
      <c r="G29" s="256">
        <f>C29*D29*E29</f>
        <v>1.3056000000000001</v>
      </c>
    </row>
    <row r="30" spans="1:7" x14ac:dyDescent="0.25">
      <c r="A30" s="48" t="s">
        <v>603</v>
      </c>
      <c r="B30" s="1" t="s">
        <v>602</v>
      </c>
      <c r="C30" s="1">
        <v>5.0999999999999996</v>
      </c>
      <c r="D30" s="1">
        <v>0.64</v>
      </c>
      <c r="E30" s="1">
        <v>0.2</v>
      </c>
      <c r="G30" s="256">
        <f>C30*D30*E30</f>
        <v>0.65280000000000005</v>
      </c>
    </row>
    <row r="31" spans="1:7" x14ac:dyDescent="0.25">
      <c r="A31" s="48" t="s">
        <v>604</v>
      </c>
      <c r="B31" s="1" t="s">
        <v>605</v>
      </c>
      <c r="C31" s="1">
        <v>3</v>
      </c>
      <c r="D31" s="1">
        <v>0.64</v>
      </c>
      <c r="E31" s="1">
        <v>0.2</v>
      </c>
      <c r="G31" s="256">
        <f>C31*D31*E31</f>
        <v>0.38400000000000001</v>
      </c>
    </row>
    <row r="32" spans="1:7" x14ac:dyDescent="0.25">
      <c r="A32" s="355" t="s">
        <v>268</v>
      </c>
      <c r="B32" s="356"/>
      <c r="C32" s="356"/>
      <c r="D32" s="356"/>
      <c r="E32" s="356"/>
      <c r="F32" s="356"/>
      <c r="G32" s="357">
        <f>SUM(G9:G31)</f>
        <v>120.5552</v>
      </c>
    </row>
    <row r="33" spans="1:7" x14ac:dyDescent="0.25">
      <c r="A33" s="48"/>
      <c r="G33" s="256"/>
    </row>
    <row r="34" spans="1:7" x14ac:dyDescent="0.25">
      <c r="A34" s="48"/>
      <c r="G34" s="256"/>
    </row>
    <row r="35" spans="1:7" x14ac:dyDescent="0.25">
      <c r="A35" s="48"/>
      <c r="G35" s="256"/>
    </row>
  </sheetData>
  <mergeCells count="1">
    <mergeCell ref="A5:G5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1373A-407D-49B8-8BF7-035D4C1B4A75}">
  <dimension ref="A3:H166"/>
  <sheetViews>
    <sheetView topLeftCell="A9" zoomScale="120" zoomScaleNormal="120" workbookViewId="0">
      <selection activeCell="D260" sqref="D238:D260"/>
    </sheetView>
  </sheetViews>
  <sheetFormatPr defaultRowHeight="15" x14ac:dyDescent="0.25"/>
  <cols>
    <col min="1" max="1" width="36" style="1" customWidth="1"/>
    <col min="2" max="2" width="35.85546875" style="257" customWidth="1"/>
    <col min="3" max="3" width="18.7109375" style="1" customWidth="1"/>
    <col min="4" max="8" width="25.7109375" style="1" customWidth="1"/>
    <col min="9" max="16384" width="9.140625" style="1"/>
  </cols>
  <sheetData>
    <row r="3" spans="1:8" ht="23.25" x14ac:dyDescent="0.25">
      <c r="A3" s="252" t="s">
        <v>564</v>
      </c>
    </row>
    <row r="5" spans="1:8" ht="63" x14ac:dyDescent="0.25">
      <c r="A5" s="349" t="s">
        <v>565</v>
      </c>
    </row>
    <row r="6" spans="1:8" ht="30" x14ac:dyDescent="0.25">
      <c r="A6" s="350" t="s">
        <v>566</v>
      </c>
    </row>
    <row r="8" spans="1:8" x14ac:dyDescent="0.25">
      <c r="A8" s="348" t="s">
        <v>606</v>
      </c>
      <c r="B8" s="359" t="s">
        <v>607</v>
      </c>
      <c r="C8" s="344"/>
      <c r="D8" s="254"/>
      <c r="E8" s="110"/>
      <c r="F8" s="110"/>
      <c r="G8" s="110"/>
      <c r="H8" s="110"/>
    </row>
    <row r="9" spans="1:8" x14ac:dyDescent="0.25">
      <c r="A9" s="257"/>
      <c r="B9" s="351" t="s">
        <v>608</v>
      </c>
      <c r="C9" s="344"/>
      <c r="D9" s="84"/>
    </row>
    <row r="10" spans="1:8" x14ac:dyDescent="0.25">
      <c r="A10" s="257"/>
      <c r="B10" s="351" t="s">
        <v>609</v>
      </c>
      <c r="C10" s="343" t="s">
        <v>610</v>
      </c>
      <c r="D10" s="84"/>
    </row>
    <row r="11" spans="1:8" ht="17.25" x14ac:dyDescent="0.25">
      <c r="A11" s="257" t="s">
        <v>611</v>
      </c>
      <c r="B11" s="352" t="s">
        <v>612</v>
      </c>
      <c r="C11" s="345">
        <f>36*0.6</f>
        <v>21.599999999999998</v>
      </c>
    </row>
    <row r="12" spans="1:8" ht="17.25" x14ac:dyDescent="0.25">
      <c r="A12" s="257" t="s">
        <v>613</v>
      </c>
      <c r="B12" s="352" t="s">
        <v>614</v>
      </c>
      <c r="C12" s="345">
        <f>6.19*2.5*0.5</f>
        <v>7.7375000000000007</v>
      </c>
    </row>
    <row r="13" spans="1:8" ht="17.25" x14ac:dyDescent="0.25">
      <c r="A13" s="257" t="s">
        <v>615</v>
      </c>
      <c r="B13" s="352" t="s">
        <v>616</v>
      </c>
      <c r="C13" s="345">
        <f>5.81*2.4*0.5</f>
        <v>6.9719999999999995</v>
      </c>
    </row>
    <row r="14" spans="1:8" ht="17.25" x14ac:dyDescent="0.25">
      <c r="A14" s="257" t="s">
        <v>617</v>
      </c>
      <c r="B14" s="352" t="s">
        <v>618</v>
      </c>
      <c r="C14" s="345">
        <f>0.13*6.19</f>
        <v>0.80470000000000008</v>
      </c>
    </row>
    <row r="15" spans="1:8" ht="17.25" x14ac:dyDescent="0.25">
      <c r="A15" s="257" t="s">
        <v>619</v>
      </c>
      <c r="B15" s="352" t="s">
        <v>620</v>
      </c>
      <c r="C15" s="345">
        <f>0.13*5.81</f>
        <v>0.75529999999999997</v>
      </c>
    </row>
    <row r="16" spans="1:8" ht="17.25" x14ac:dyDescent="0.25">
      <c r="A16" s="353" t="s">
        <v>621</v>
      </c>
      <c r="B16" s="354" t="s">
        <v>268</v>
      </c>
      <c r="C16" s="347">
        <f>SUM(C11:C15)</f>
        <v>37.869499999999995</v>
      </c>
    </row>
    <row r="17" spans="1:3" x14ac:dyDescent="0.25">
      <c r="A17" s="257"/>
      <c r="B17" s="352"/>
      <c r="C17" s="345"/>
    </row>
    <row r="18" spans="1:3" ht="17.25" x14ac:dyDescent="0.25">
      <c r="A18" s="348" t="s">
        <v>622</v>
      </c>
      <c r="B18" s="352" t="s">
        <v>623</v>
      </c>
      <c r="C18" s="346">
        <f>37.3*0.15</f>
        <v>5.5949999999999998</v>
      </c>
    </row>
    <row r="19" spans="1:3" x14ac:dyDescent="0.25">
      <c r="A19" s="257"/>
      <c r="B19" s="352"/>
      <c r="C19" s="345"/>
    </row>
    <row r="20" spans="1:3" ht="32.25" x14ac:dyDescent="0.25">
      <c r="A20" s="348" t="s">
        <v>624</v>
      </c>
      <c r="B20" s="352"/>
      <c r="C20" s="346">
        <v>6.36</v>
      </c>
    </row>
    <row r="21" spans="1:3" x14ac:dyDescent="0.25">
      <c r="A21" s="257"/>
      <c r="B21" s="352"/>
      <c r="C21" s="345"/>
    </row>
    <row r="22" spans="1:3" ht="17.25" x14ac:dyDescent="0.25">
      <c r="A22" s="257" t="s">
        <v>625</v>
      </c>
      <c r="B22" s="352" t="s">
        <v>626</v>
      </c>
      <c r="C22" s="345">
        <f>6.21*0.9+6.17*2.5</f>
        <v>21.014000000000003</v>
      </c>
    </row>
    <row r="23" spans="1:3" ht="17.25" x14ac:dyDescent="0.25">
      <c r="A23" s="257" t="s">
        <v>627</v>
      </c>
      <c r="B23" s="352" t="s">
        <v>628</v>
      </c>
      <c r="C23" s="345">
        <f>5.83*2.5+5.79*3.1</f>
        <v>32.524000000000001</v>
      </c>
    </row>
    <row r="24" spans="1:3" ht="27" customHeight="1" x14ac:dyDescent="0.25">
      <c r="A24" s="257" t="s">
        <v>629</v>
      </c>
      <c r="B24" s="352" t="s">
        <v>630</v>
      </c>
      <c r="C24" s="345">
        <f>6.21*0.07+6.17*0.07+6.21*0.2+6.17*0.2</f>
        <v>3.3426</v>
      </c>
    </row>
    <row r="25" spans="1:3" ht="35.25" customHeight="1" x14ac:dyDescent="0.25">
      <c r="A25" s="257" t="s">
        <v>631</v>
      </c>
      <c r="B25" s="352" t="s">
        <v>632</v>
      </c>
      <c r="C25" s="345">
        <f>5.83*0.07+5.79*0.07+5.83*0.2+5.79*0.2</f>
        <v>3.1374000000000004</v>
      </c>
    </row>
    <row r="26" spans="1:3" ht="17.25" x14ac:dyDescent="0.25">
      <c r="A26" s="348" t="s">
        <v>633</v>
      </c>
      <c r="B26" s="351" t="s">
        <v>268</v>
      </c>
      <c r="C26" s="346">
        <f>SUM(C22:C25)</f>
        <v>60.018000000000001</v>
      </c>
    </row>
    <row r="27" spans="1:3" x14ac:dyDescent="0.25">
      <c r="A27" s="257"/>
      <c r="B27" s="352"/>
      <c r="C27" s="345"/>
    </row>
    <row r="28" spans="1:3" ht="17.25" x14ac:dyDescent="0.25">
      <c r="A28" s="257" t="s">
        <v>634</v>
      </c>
      <c r="B28" s="352" t="s">
        <v>635</v>
      </c>
      <c r="C28" s="345">
        <f>6.17*2.7</f>
        <v>16.659000000000002</v>
      </c>
    </row>
    <row r="29" spans="1:3" ht="17.25" x14ac:dyDescent="0.25">
      <c r="A29" s="257" t="s">
        <v>636</v>
      </c>
      <c r="B29" s="352" t="s">
        <v>637</v>
      </c>
      <c r="C29" s="345">
        <f>5.79*2.7</f>
        <v>15.633000000000001</v>
      </c>
    </row>
    <row r="30" spans="1:3" ht="17.25" x14ac:dyDescent="0.25">
      <c r="A30" s="348" t="s">
        <v>638</v>
      </c>
      <c r="B30" s="351" t="s">
        <v>268</v>
      </c>
      <c r="C30" s="346">
        <f>SUM(C28:C29)</f>
        <v>32.292000000000002</v>
      </c>
    </row>
    <row r="31" spans="1:3" x14ac:dyDescent="0.25">
      <c r="A31" s="257"/>
      <c r="B31" s="352"/>
      <c r="C31" s="345"/>
    </row>
    <row r="32" spans="1:3" x14ac:dyDescent="0.25">
      <c r="A32" s="348" t="s">
        <v>639</v>
      </c>
      <c r="B32" s="352" t="s">
        <v>640</v>
      </c>
      <c r="C32" s="346">
        <f>2.8+5.5+2.8</f>
        <v>11.100000000000001</v>
      </c>
    </row>
    <row r="33" spans="1:3" x14ac:dyDescent="0.25">
      <c r="A33" s="257"/>
      <c r="B33" s="352"/>
      <c r="C33" s="345"/>
    </row>
    <row r="34" spans="1:3" x14ac:dyDescent="0.25">
      <c r="A34" s="348" t="s">
        <v>641</v>
      </c>
      <c r="B34" s="352" t="s">
        <v>642</v>
      </c>
      <c r="C34" s="346">
        <f>6.29+5.91</f>
        <v>12.2</v>
      </c>
    </row>
    <row r="35" spans="1:3" x14ac:dyDescent="0.25">
      <c r="A35" s="257"/>
      <c r="B35" s="352"/>
      <c r="C35" s="345"/>
    </row>
    <row r="36" spans="1:3" x14ac:dyDescent="0.25">
      <c r="A36" s="348" t="s">
        <v>643</v>
      </c>
      <c r="B36" s="352" t="s">
        <v>644</v>
      </c>
      <c r="C36" s="346">
        <f>2*5.91+2*6.29</f>
        <v>24.4</v>
      </c>
    </row>
    <row r="37" spans="1:3" x14ac:dyDescent="0.25">
      <c r="A37" s="257"/>
      <c r="B37" s="352"/>
      <c r="C37" s="345"/>
    </row>
    <row r="38" spans="1:3" x14ac:dyDescent="0.25">
      <c r="A38" s="348" t="s">
        <v>645</v>
      </c>
      <c r="B38" s="352" t="s">
        <v>644</v>
      </c>
      <c r="C38" s="346">
        <f>2*5.91+2*6.29</f>
        <v>24.4</v>
      </c>
    </row>
    <row r="39" spans="1:3" x14ac:dyDescent="0.25">
      <c r="A39" s="257"/>
      <c r="B39" s="352"/>
      <c r="C39" s="345"/>
    </row>
    <row r="40" spans="1:3" x14ac:dyDescent="0.25">
      <c r="A40" s="257"/>
      <c r="B40" s="352"/>
      <c r="C40" s="345"/>
    </row>
    <row r="41" spans="1:3" x14ac:dyDescent="0.25">
      <c r="A41" s="257"/>
      <c r="B41" s="352"/>
      <c r="C41" s="345"/>
    </row>
    <row r="42" spans="1:3" x14ac:dyDescent="0.25">
      <c r="A42" s="257"/>
      <c r="B42" s="352"/>
      <c r="C42" s="345"/>
    </row>
    <row r="43" spans="1:3" ht="17.25" x14ac:dyDescent="0.25">
      <c r="A43" s="257" t="s">
        <v>646</v>
      </c>
      <c r="B43" s="352" t="s">
        <v>612</v>
      </c>
      <c r="C43" s="345">
        <f>36*0.6</f>
        <v>21.599999999999998</v>
      </c>
    </row>
    <row r="44" spans="1:3" ht="17.25" x14ac:dyDescent="0.25">
      <c r="A44" s="257" t="s">
        <v>647</v>
      </c>
      <c r="B44" s="352" t="s">
        <v>648</v>
      </c>
      <c r="C44" s="345">
        <f>6.11*2.5*0.5</f>
        <v>7.6375000000000002</v>
      </c>
    </row>
    <row r="45" spans="1:3" ht="17.25" x14ac:dyDescent="0.25">
      <c r="A45" s="257" t="s">
        <v>649</v>
      </c>
      <c r="B45" s="352" t="s">
        <v>650</v>
      </c>
      <c r="C45" s="345">
        <f>5.89*2.32*0.5</f>
        <v>6.8323999999999989</v>
      </c>
    </row>
    <row r="46" spans="1:3" ht="17.25" x14ac:dyDescent="0.25">
      <c r="A46" s="257" t="s">
        <v>651</v>
      </c>
      <c r="B46" s="352" t="s">
        <v>652</v>
      </c>
      <c r="C46" s="345">
        <f>0.13*6.11</f>
        <v>0.79430000000000012</v>
      </c>
    </row>
    <row r="47" spans="1:3" ht="17.25" x14ac:dyDescent="0.25">
      <c r="A47" s="257" t="s">
        <v>653</v>
      </c>
      <c r="B47" s="352" t="s">
        <v>654</v>
      </c>
      <c r="C47" s="345">
        <f>0.13*5.89</f>
        <v>0.76569999999999994</v>
      </c>
    </row>
    <row r="48" spans="1:3" ht="17.25" x14ac:dyDescent="0.25">
      <c r="A48" s="353" t="s">
        <v>655</v>
      </c>
      <c r="B48" s="354" t="s">
        <v>268</v>
      </c>
      <c r="C48" s="347">
        <f>SUM(C43:C47)</f>
        <v>37.629899999999999</v>
      </c>
    </row>
    <row r="49" spans="1:3" x14ac:dyDescent="0.25">
      <c r="A49" s="257"/>
      <c r="B49" s="352"/>
      <c r="C49" s="344"/>
    </row>
    <row r="50" spans="1:3" ht="17.25" x14ac:dyDescent="0.25">
      <c r="A50" s="348" t="s">
        <v>656</v>
      </c>
      <c r="B50" s="352" t="s">
        <v>657</v>
      </c>
      <c r="C50" s="346">
        <f>37.32*0.15</f>
        <v>5.5979999999999999</v>
      </c>
    </row>
    <row r="51" spans="1:3" x14ac:dyDescent="0.25">
      <c r="A51" s="257"/>
      <c r="B51" s="352"/>
      <c r="C51" s="344"/>
    </row>
    <row r="52" spans="1:3" ht="32.25" x14ac:dyDescent="0.25">
      <c r="A52" s="348" t="s">
        <v>658</v>
      </c>
      <c r="B52" s="352"/>
      <c r="C52" s="346">
        <v>6.27</v>
      </c>
    </row>
    <row r="53" spans="1:3" x14ac:dyDescent="0.25">
      <c r="A53" s="257"/>
      <c r="B53" s="352"/>
      <c r="C53" s="344"/>
    </row>
    <row r="54" spans="1:3" ht="17.25" x14ac:dyDescent="0.25">
      <c r="A54" s="257" t="s">
        <v>659</v>
      </c>
      <c r="B54" s="352" t="s">
        <v>660</v>
      </c>
      <c r="C54" s="345">
        <f>6.12*0.9+6.1*2.5</f>
        <v>20.757999999999999</v>
      </c>
    </row>
    <row r="55" spans="1:3" ht="17.25" x14ac:dyDescent="0.25">
      <c r="A55" s="257" t="s">
        <v>661</v>
      </c>
      <c r="B55" s="352" t="s">
        <v>662</v>
      </c>
      <c r="C55" s="345">
        <f>5.9*2.52+5.88*3.12</f>
        <v>33.2136</v>
      </c>
    </row>
    <row r="56" spans="1:3" ht="32.25" customHeight="1" x14ac:dyDescent="0.25">
      <c r="A56" s="257" t="s">
        <v>663</v>
      </c>
      <c r="B56" s="352" t="s">
        <v>664</v>
      </c>
      <c r="C56" s="345">
        <f>6.12*0.07+6.1*0.07+6.12*0.2+6.1*0.2</f>
        <v>3.2994000000000003</v>
      </c>
    </row>
    <row r="57" spans="1:3" ht="29.25" customHeight="1" x14ac:dyDescent="0.25">
      <c r="A57" s="257" t="s">
        <v>665</v>
      </c>
      <c r="B57" s="352" t="s">
        <v>666</v>
      </c>
      <c r="C57" s="345">
        <f>5.9*0.07+5.88*0.07+5.9*0.2+5.88*0.2</f>
        <v>3.1806000000000001</v>
      </c>
    </row>
    <row r="58" spans="1:3" ht="17.25" x14ac:dyDescent="0.25">
      <c r="A58" s="348" t="s">
        <v>667</v>
      </c>
      <c r="B58" s="351" t="s">
        <v>268</v>
      </c>
      <c r="C58" s="346">
        <f>SUM(C54:C57)</f>
        <v>60.451599999999992</v>
      </c>
    </row>
    <row r="59" spans="1:3" x14ac:dyDescent="0.25">
      <c r="A59" s="257"/>
      <c r="B59" s="352"/>
      <c r="C59" s="344"/>
    </row>
    <row r="60" spans="1:3" ht="17.25" x14ac:dyDescent="0.25">
      <c r="A60" s="257" t="s">
        <v>668</v>
      </c>
      <c r="B60" s="352" t="s">
        <v>669</v>
      </c>
      <c r="C60" s="345">
        <f>6.1*2.7</f>
        <v>16.47</v>
      </c>
    </row>
    <row r="61" spans="1:3" ht="17.25" x14ac:dyDescent="0.25">
      <c r="A61" s="257" t="s">
        <v>670</v>
      </c>
      <c r="B61" s="352" t="s">
        <v>671</v>
      </c>
      <c r="C61" s="345">
        <f>5.88*2.52</f>
        <v>14.817600000000001</v>
      </c>
    </row>
    <row r="62" spans="1:3" ht="17.25" x14ac:dyDescent="0.25">
      <c r="A62" s="348" t="s">
        <v>672</v>
      </c>
      <c r="B62" s="351" t="s">
        <v>268</v>
      </c>
      <c r="C62" s="346">
        <f>SUM(C60:C61)</f>
        <v>31.287599999999998</v>
      </c>
    </row>
    <row r="63" spans="1:3" x14ac:dyDescent="0.25">
      <c r="A63" s="257"/>
      <c r="B63" s="352"/>
      <c r="C63" s="344"/>
    </row>
    <row r="64" spans="1:3" x14ac:dyDescent="0.25">
      <c r="A64" s="348" t="s">
        <v>673</v>
      </c>
      <c r="B64" s="352" t="s">
        <v>674</v>
      </c>
      <c r="C64" s="346">
        <f>2.8+5.5+2.62</f>
        <v>10.920000000000002</v>
      </c>
    </row>
    <row r="65" spans="1:3" x14ac:dyDescent="0.25">
      <c r="A65" s="257"/>
      <c r="B65" s="352"/>
      <c r="C65" s="345"/>
    </row>
    <row r="66" spans="1:3" x14ac:dyDescent="0.25">
      <c r="A66" s="348" t="s">
        <v>675</v>
      </c>
      <c r="B66" s="352" t="s">
        <v>676</v>
      </c>
      <c r="C66" s="346">
        <f>6.11+5.89</f>
        <v>12</v>
      </c>
    </row>
    <row r="67" spans="1:3" x14ac:dyDescent="0.25">
      <c r="A67" s="257"/>
      <c r="B67" s="352"/>
      <c r="C67" s="345"/>
    </row>
    <row r="68" spans="1:3" x14ac:dyDescent="0.25">
      <c r="A68" s="348" t="s">
        <v>677</v>
      </c>
      <c r="B68" s="352" t="s">
        <v>678</v>
      </c>
      <c r="C68" s="346">
        <f>2*6.11+2*5.89</f>
        <v>24</v>
      </c>
    </row>
    <row r="69" spans="1:3" x14ac:dyDescent="0.25">
      <c r="A69" s="257"/>
      <c r="B69" s="352"/>
      <c r="C69" s="345"/>
    </row>
    <row r="70" spans="1:3" x14ac:dyDescent="0.25">
      <c r="A70" s="348" t="s">
        <v>679</v>
      </c>
      <c r="B70" s="352" t="s">
        <v>678</v>
      </c>
      <c r="C70" s="346">
        <f>2*6.11+2*5.89</f>
        <v>24</v>
      </c>
    </row>
    <row r="71" spans="1:3" x14ac:dyDescent="0.25">
      <c r="A71" s="257"/>
      <c r="B71" s="352"/>
      <c r="C71" s="344"/>
    </row>
    <row r="72" spans="1:3" x14ac:dyDescent="0.25">
      <c r="A72" s="257"/>
      <c r="B72" s="352"/>
      <c r="C72" s="344"/>
    </row>
    <row r="73" spans="1:3" x14ac:dyDescent="0.25">
      <c r="A73" s="257"/>
      <c r="B73" s="352"/>
      <c r="C73" s="344"/>
    </row>
    <row r="74" spans="1:3" x14ac:dyDescent="0.25">
      <c r="A74" s="257"/>
      <c r="B74" s="352"/>
      <c r="C74" s="344"/>
    </row>
    <row r="75" spans="1:3" ht="17.25" x14ac:dyDescent="0.25">
      <c r="A75" s="257" t="s">
        <v>680</v>
      </c>
      <c r="B75" s="352" t="s">
        <v>612</v>
      </c>
      <c r="C75" s="345">
        <f>36*0.6</f>
        <v>21.599999999999998</v>
      </c>
    </row>
    <row r="76" spans="1:3" ht="17.25" x14ac:dyDescent="0.25">
      <c r="A76" s="257" t="s">
        <v>681</v>
      </c>
      <c r="B76" s="352" t="s">
        <v>682</v>
      </c>
      <c r="C76" s="345">
        <f>6.03*2.5*0.5</f>
        <v>7.5375000000000005</v>
      </c>
    </row>
    <row r="77" spans="1:3" ht="17.25" x14ac:dyDescent="0.25">
      <c r="A77" s="257" t="s">
        <v>683</v>
      </c>
      <c r="B77" s="352" t="s">
        <v>684</v>
      </c>
      <c r="C77" s="345">
        <f>5.97*2.07*0.5</f>
        <v>6.1789499999999995</v>
      </c>
    </row>
    <row r="78" spans="1:3" ht="17.25" x14ac:dyDescent="0.25">
      <c r="A78" s="257" t="s">
        <v>685</v>
      </c>
      <c r="B78" s="352" t="s">
        <v>686</v>
      </c>
      <c r="C78" s="345">
        <f>0.13*6.03</f>
        <v>0.78390000000000004</v>
      </c>
    </row>
    <row r="79" spans="1:3" ht="17.25" x14ac:dyDescent="0.25">
      <c r="A79" s="257" t="s">
        <v>687</v>
      </c>
      <c r="B79" s="352" t="s">
        <v>688</v>
      </c>
      <c r="C79" s="345">
        <f>0.13*5.97</f>
        <v>0.77610000000000001</v>
      </c>
    </row>
    <row r="80" spans="1:3" ht="17.25" x14ac:dyDescent="0.25">
      <c r="A80" s="353" t="s">
        <v>689</v>
      </c>
      <c r="B80" s="354" t="s">
        <v>268</v>
      </c>
      <c r="C80" s="347">
        <f>SUM(C75:C79)</f>
        <v>36.876449999999998</v>
      </c>
    </row>
    <row r="81" spans="1:3" x14ac:dyDescent="0.25">
      <c r="A81" s="257"/>
      <c r="B81" s="352"/>
      <c r="C81" s="344"/>
    </row>
    <row r="82" spans="1:3" ht="17.25" x14ac:dyDescent="0.25">
      <c r="A82" s="348" t="s">
        <v>690</v>
      </c>
      <c r="B82" s="352" t="s">
        <v>691</v>
      </c>
      <c r="C82" s="346">
        <f>37.34*0.15</f>
        <v>5.601</v>
      </c>
    </row>
    <row r="83" spans="1:3" x14ac:dyDescent="0.25">
      <c r="A83" s="257"/>
      <c r="B83" s="352"/>
      <c r="C83" s="344"/>
    </row>
    <row r="84" spans="1:3" ht="32.25" x14ac:dyDescent="0.25">
      <c r="A84" s="348" t="s">
        <v>692</v>
      </c>
      <c r="B84" s="352"/>
      <c r="C84" s="346">
        <v>6.19</v>
      </c>
    </row>
    <row r="85" spans="1:3" x14ac:dyDescent="0.25">
      <c r="A85" s="257"/>
      <c r="B85" s="352"/>
      <c r="C85" s="344"/>
    </row>
    <row r="86" spans="1:3" ht="17.25" x14ac:dyDescent="0.25">
      <c r="A86" s="257" t="s">
        <v>693</v>
      </c>
      <c r="B86" s="352" t="s">
        <v>694</v>
      </c>
      <c r="C86" s="345">
        <f>6.03*0.9+6.03*2.5</f>
        <v>20.502000000000002</v>
      </c>
    </row>
    <row r="87" spans="1:3" ht="17.25" x14ac:dyDescent="0.25">
      <c r="A87" s="257" t="s">
        <v>695</v>
      </c>
      <c r="B87" s="352" t="s">
        <v>696</v>
      </c>
      <c r="C87" s="345">
        <f>5.97*2.07+5.97*2.67</f>
        <v>28.297799999999999</v>
      </c>
    </row>
    <row r="88" spans="1:3" ht="29.25" customHeight="1" x14ac:dyDescent="0.25">
      <c r="A88" s="257" t="s">
        <v>697</v>
      </c>
      <c r="B88" s="352" t="s">
        <v>698</v>
      </c>
      <c r="C88" s="345">
        <f>6.03*0.07+6.03*0.07+6.03*0.2+6.03*0.2</f>
        <v>3.2562000000000006</v>
      </c>
    </row>
    <row r="89" spans="1:3" ht="30.75" customHeight="1" x14ac:dyDescent="0.25">
      <c r="A89" s="257" t="s">
        <v>699</v>
      </c>
      <c r="B89" s="352" t="s">
        <v>700</v>
      </c>
      <c r="C89" s="345">
        <f>5.97*0.07+5.97*0.07+5.97*0.2+5.97*0.2</f>
        <v>3.2237999999999998</v>
      </c>
    </row>
    <row r="90" spans="1:3" ht="17.25" x14ac:dyDescent="0.25">
      <c r="A90" s="348" t="s">
        <v>701</v>
      </c>
      <c r="B90" s="351" t="s">
        <v>268</v>
      </c>
      <c r="C90" s="346">
        <f>SUM(C86:C89)</f>
        <v>55.279800000000002</v>
      </c>
    </row>
    <row r="91" spans="1:3" x14ac:dyDescent="0.25">
      <c r="A91" s="257"/>
      <c r="B91" s="352"/>
      <c r="C91" s="344"/>
    </row>
    <row r="92" spans="1:3" ht="17.25" x14ac:dyDescent="0.25">
      <c r="A92" s="257" t="s">
        <v>702</v>
      </c>
      <c r="B92" s="352" t="s">
        <v>703</v>
      </c>
      <c r="C92" s="345">
        <f>6.03*2.7</f>
        <v>16.281000000000002</v>
      </c>
    </row>
    <row r="93" spans="1:3" ht="17.25" x14ac:dyDescent="0.25">
      <c r="A93" s="257" t="s">
        <v>704</v>
      </c>
      <c r="B93" s="352" t="s">
        <v>705</v>
      </c>
      <c r="C93" s="345">
        <f>5.97*2.25</f>
        <v>13.432499999999999</v>
      </c>
    </row>
    <row r="94" spans="1:3" ht="17.25" x14ac:dyDescent="0.25">
      <c r="A94" s="348" t="s">
        <v>706</v>
      </c>
      <c r="B94" s="351" t="s">
        <v>268</v>
      </c>
      <c r="C94" s="346">
        <f>SUM(C92:C93)</f>
        <v>29.713500000000003</v>
      </c>
    </row>
    <row r="95" spans="1:3" x14ac:dyDescent="0.25">
      <c r="A95" s="257"/>
      <c r="B95" s="352"/>
      <c r="C95" s="344"/>
    </row>
    <row r="96" spans="1:3" x14ac:dyDescent="0.25">
      <c r="A96" s="348" t="s">
        <v>707</v>
      </c>
      <c r="B96" s="352" t="s">
        <v>708</v>
      </c>
      <c r="C96" s="346">
        <f>2.8+5.5+2.45</f>
        <v>10.75</v>
      </c>
    </row>
    <row r="97" spans="1:3" x14ac:dyDescent="0.25">
      <c r="A97" s="257"/>
      <c r="B97" s="352"/>
      <c r="C97" s="345"/>
    </row>
    <row r="98" spans="1:3" x14ac:dyDescent="0.25">
      <c r="A98" s="348" t="s">
        <v>709</v>
      </c>
      <c r="B98" s="352" t="s">
        <v>710</v>
      </c>
      <c r="C98" s="346">
        <f>6.03+5.97</f>
        <v>12</v>
      </c>
    </row>
    <row r="99" spans="1:3" x14ac:dyDescent="0.25">
      <c r="A99" s="257"/>
      <c r="B99" s="352"/>
      <c r="C99" s="345"/>
    </row>
    <row r="100" spans="1:3" x14ac:dyDescent="0.25">
      <c r="A100" s="348" t="s">
        <v>711</v>
      </c>
      <c r="B100" s="352" t="s">
        <v>712</v>
      </c>
      <c r="C100" s="346">
        <f>2*6.03+2*5.97</f>
        <v>24</v>
      </c>
    </row>
    <row r="101" spans="1:3" x14ac:dyDescent="0.25">
      <c r="A101" s="257"/>
      <c r="B101" s="352"/>
      <c r="C101" s="345"/>
    </row>
    <row r="102" spans="1:3" x14ac:dyDescent="0.25">
      <c r="A102" s="348" t="s">
        <v>713</v>
      </c>
      <c r="B102" s="352" t="s">
        <v>678</v>
      </c>
      <c r="C102" s="346">
        <f>2*6.11+2*5.89</f>
        <v>24</v>
      </c>
    </row>
    <row r="103" spans="1:3" x14ac:dyDescent="0.25">
      <c r="A103" s="257"/>
      <c r="B103" s="352"/>
      <c r="C103" s="344"/>
    </row>
    <row r="104" spans="1:3" x14ac:dyDescent="0.25">
      <c r="A104" s="257"/>
      <c r="B104" s="352"/>
      <c r="C104" s="344"/>
    </row>
    <row r="105" spans="1:3" x14ac:dyDescent="0.25">
      <c r="A105" s="257"/>
      <c r="B105" s="352"/>
      <c r="C105" s="344"/>
    </row>
    <row r="106" spans="1:3" x14ac:dyDescent="0.25">
      <c r="A106" s="257"/>
      <c r="B106" s="352"/>
      <c r="C106" s="344"/>
    </row>
    <row r="107" spans="1:3" ht="17.25" x14ac:dyDescent="0.25">
      <c r="A107" s="257" t="s">
        <v>714</v>
      </c>
      <c r="B107" s="352" t="s">
        <v>612</v>
      </c>
      <c r="C107" s="345">
        <f>36*0.6</f>
        <v>21.599999999999998</v>
      </c>
    </row>
    <row r="108" spans="1:3" ht="17.25" x14ac:dyDescent="0.25">
      <c r="A108" s="257" t="s">
        <v>715</v>
      </c>
      <c r="B108" s="352" t="s">
        <v>716</v>
      </c>
      <c r="C108" s="345">
        <f>6.07*2.5*0.5</f>
        <v>7.5875000000000004</v>
      </c>
    </row>
    <row r="109" spans="1:3" ht="17.25" x14ac:dyDescent="0.25">
      <c r="A109" s="257" t="s">
        <v>717</v>
      </c>
      <c r="B109" s="352" t="s">
        <v>718</v>
      </c>
      <c r="C109" s="345">
        <f>5.94*1.89*0.5</f>
        <v>5.6132999999999997</v>
      </c>
    </row>
    <row r="110" spans="1:3" ht="17.25" x14ac:dyDescent="0.25">
      <c r="A110" s="257" t="s">
        <v>719</v>
      </c>
      <c r="B110" s="352" t="s">
        <v>720</v>
      </c>
      <c r="C110" s="345">
        <f>0.13*6.07</f>
        <v>0.78910000000000002</v>
      </c>
    </row>
    <row r="111" spans="1:3" ht="17.25" x14ac:dyDescent="0.25">
      <c r="A111" s="257" t="s">
        <v>721</v>
      </c>
      <c r="B111" s="352" t="s">
        <v>722</v>
      </c>
      <c r="C111" s="345">
        <f>0.13*5.94</f>
        <v>0.77220000000000011</v>
      </c>
    </row>
    <row r="112" spans="1:3" ht="17.25" x14ac:dyDescent="0.25">
      <c r="A112" s="353" t="s">
        <v>723</v>
      </c>
      <c r="B112" s="354" t="s">
        <v>268</v>
      </c>
      <c r="C112" s="347">
        <f>SUM(C107:C111)</f>
        <v>36.362099999999998</v>
      </c>
    </row>
    <row r="113" spans="1:3" x14ac:dyDescent="0.25">
      <c r="A113" s="257"/>
      <c r="B113" s="352"/>
      <c r="C113" s="344"/>
    </row>
    <row r="114" spans="1:3" ht="17.25" x14ac:dyDescent="0.25">
      <c r="A114" s="348" t="s">
        <v>724</v>
      </c>
      <c r="B114" s="352" t="s">
        <v>725</v>
      </c>
      <c r="C114" s="346">
        <f>37.33*0.15</f>
        <v>5.5994999999999999</v>
      </c>
    </row>
    <row r="115" spans="1:3" x14ac:dyDescent="0.25">
      <c r="A115" s="257"/>
      <c r="B115" s="352"/>
      <c r="C115" s="344"/>
    </row>
    <row r="116" spans="1:3" ht="32.25" x14ac:dyDescent="0.25">
      <c r="A116" s="348" t="s">
        <v>726</v>
      </c>
      <c r="B116" s="352"/>
      <c r="C116" s="346">
        <v>6.1</v>
      </c>
    </row>
    <row r="117" spans="1:3" x14ac:dyDescent="0.25">
      <c r="A117" s="257"/>
      <c r="B117" s="352"/>
      <c r="C117" s="344"/>
    </row>
    <row r="118" spans="1:3" ht="17.25" x14ac:dyDescent="0.25">
      <c r="A118" s="257" t="s">
        <v>727</v>
      </c>
      <c r="B118" s="352" t="s">
        <v>728</v>
      </c>
      <c r="C118" s="345">
        <f>6.07*0.9+6.07*2.5</f>
        <v>20.638000000000002</v>
      </c>
    </row>
    <row r="119" spans="1:3" ht="17.25" x14ac:dyDescent="0.25">
      <c r="A119" s="257" t="s">
        <v>729</v>
      </c>
      <c r="B119" s="352" t="s">
        <v>730</v>
      </c>
      <c r="C119" s="345">
        <f>5.94*1.89+5.94*2.49</f>
        <v>26.017200000000003</v>
      </c>
    </row>
    <row r="120" spans="1:3" ht="30" customHeight="1" x14ac:dyDescent="0.25">
      <c r="A120" s="257" t="s">
        <v>731</v>
      </c>
      <c r="B120" s="352" t="s">
        <v>732</v>
      </c>
      <c r="C120" s="345">
        <f>6.07*0.07+6.07*0.07+6.07*0.2+6.07*0.2</f>
        <v>3.2778000000000009</v>
      </c>
    </row>
    <row r="121" spans="1:3" ht="38.25" customHeight="1" x14ac:dyDescent="0.25">
      <c r="A121" s="257" t="s">
        <v>733</v>
      </c>
      <c r="B121" s="352" t="s">
        <v>734</v>
      </c>
      <c r="C121" s="345">
        <f>5.94*0.07+5.94*0.07+5.94*0.2+5.94*0.2</f>
        <v>3.2076000000000007</v>
      </c>
    </row>
    <row r="122" spans="1:3" ht="17.25" x14ac:dyDescent="0.25">
      <c r="A122" s="348" t="s">
        <v>735</v>
      </c>
      <c r="B122" s="351" t="s">
        <v>268</v>
      </c>
      <c r="C122" s="346">
        <f>SUM(C118:C121)</f>
        <v>53.140600000000006</v>
      </c>
    </row>
    <row r="123" spans="1:3" x14ac:dyDescent="0.25">
      <c r="A123" s="257"/>
      <c r="B123" s="352"/>
      <c r="C123" s="344"/>
    </row>
    <row r="124" spans="1:3" ht="17.25" x14ac:dyDescent="0.25">
      <c r="A124" s="257" t="s">
        <v>736</v>
      </c>
      <c r="B124" s="352" t="s">
        <v>737</v>
      </c>
      <c r="C124" s="345">
        <f>6.07*2.7</f>
        <v>16.389000000000003</v>
      </c>
    </row>
    <row r="125" spans="1:3" ht="17.25" x14ac:dyDescent="0.25">
      <c r="A125" s="257" t="s">
        <v>738</v>
      </c>
      <c r="B125" s="352" t="s">
        <v>739</v>
      </c>
      <c r="C125" s="345">
        <f>5.94*2.09</f>
        <v>12.4146</v>
      </c>
    </row>
    <row r="126" spans="1:3" ht="17.25" x14ac:dyDescent="0.25">
      <c r="A126" s="348" t="s">
        <v>740</v>
      </c>
      <c r="B126" s="351" t="s">
        <v>268</v>
      </c>
      <c r="C126" s="346">
        <f>SUM(C124:C125)</f>
        <v>28.803600000000003</v>
      </c>
    </row>
    <row r="127" spans="1:3" x14ac:dyDescent="0.25">
      <c r="A127" s="257"/>
      <c r="B127" s="352"/>
      <c r="C127" s="344"/>
    </row>
    <row r="128" spans="1:3" x14ac:dyDescent="0.25">
      <c r="A128" s="348" t="s">
        <v>741</v>
      </c>
      <c r="B128" s="352" t="s">
        <v>742</v>
      </c>
      <c r="C128" s="346">
        <f>2.8+5.5+2.28</f>
        <v>10.58</v>
      </c>
    </row>
    <row r="129" spans="1:3" x14ac:dyDescent="0.25">
      <c r="A129" s="257"/>
      <c r="B129" s="352"/>
      <c r="C129" s="345"/>
    </row>
    <row r="130" spans="1:3" x14ac:dyDescent="0.25">
      <c r="A130" s="348" t="s">
        <v>743</v>
      </c>
      <c r="B130" s="352" t="s">
        <v>744</v>
      </c>
      <c r="C130" s="346">
        <f>6.07+5.94</f>
        <v>12.010000000000002</v>
      </c>
    </row>
    <row r="131" spans="1:3" x14ac:dyDescent="0.25">
      <c r="A131" s="257"/>
      <c r="B131" s="352"/>
      <c r="C131" s="345"/>
    </row>
    <row r="132" spans="1:3" x14ac:dyDescent="0.25">
      <c r="A132" s="348" t="s">
        <v>745</v>
      </c>
      <c r="B132" s="352" t="s">
        <v>746</v>
      </c>
      <c r="C132" s="346">
        <f>2*6.07+2*5.94</f>
        <v>24.020000000000003</v>
      </c>
    </row>
    <row r="133" spans="1:3" x14ac:dyDescent="0.25">
      <c r="A133" s="257"/>
      <c r="B133" s="352"/>
      <c r="C133" s="345"/>
    </row>
    <row r="134" spans="1:3" x14ac:dyDescent="0.25">
      <c r="A134" s="348" t="s">
        <v>747</v>
      </c>
      <c r="B134" s="352" t="s">
        <v>746</v>
      </c>
      <c r="C134" s="346">
        <f>2*6.07+2*5.94</f>
        <v>24.020000000000003</v>
      </c>
    </row>
    <row r="135" spans="1:3" x14ac:dyDescent="0.25">
      <c r="A135" s="257"/>
      <c r="B135" s="352"/>
      <c r="C135" s="344"/>
    </row>
    <row r="136" spans="1:3" x14ac:dyDescent="0.25">
      <c r="A136" s="257"/>
      <c r="B136" s="352"/>
      <c r="C136" s="344"/>
    </row>
    <row r="137" spans="1:3" x14ac:dyDescent="0.25">
      <c r="A137" s="257"/>
      <c r="B137" s="352"/>
      <c r="C137" s="344"/>
    </row>
    <row r="138" spans="1:3" x14ac:dyDescent="0.25">
      <c r="A138" s="257"/>
      <c r="B138" s="352"/>
      <c r="C138" s="344"/>
    </row>
    <row r="139" spans="1:3" ht="17.25" x14ac:dyDescent="0.25">
      <c r="A139" s="257" t="s">
        <v>748</v>
      </c>
      <c r="B139" s="352" t="s">
        <v>612</v>
      </c>
      <c r="C139" s="345">
        <f>36*0.6</f>
        <v>21.599999999999998</v>
      </c>
    </row>
    <row r="140" spans="1:3" ht="17.25" x14ac:dyDescent="0.25">
      <c r="A140" s="257" t="s">
        <v>749</v>
      </c>
      <c r="B140" s="352" t="s">
        <v>750</v>
      </c>
      <c r="C140" s="345">
        <f>6.06*2.5*0.5</f>
        <v>7.5749999999999993</v>
      </c>
    </row>
    <row r="141" spans="1:3" ht="17.25" x14ac:dyDescent="0.25">
      <c r="A141" s="257" t="s">
        <v>751</v>
      </c>
      <c r="B141" s="352" t="s">
        <v>752</v>
      </c>
      <c r="C141" s="345">
        <f>5.94*1.8*0.5-0.8*0.25*1.8</f>
        <v>4.9859999999999998</v>
      </c>
    </row>
    <row r="142" spans="1:3" ht="17.25" x14ac:dyDescent="0.25">
      <c r="A142" s="257" t="s">
        <v>753</v>
      </c>
      <c r="B142" s="352" t="s">
        <v>754</v>
      </c>
      <c r="C142" s="345">
        <f>0.13*6.06</f>
        <v>0.78779999999999994</v>
      </c>
    </row>
    <row r="143" spans="1:3" ht="17.25" x14ac:dyDescent="0.25">
      <c r="A143" s="257" t="s">
        <v>755</v>
      </c>
      <c r="B143" s="352" t="s">
        <v>722</v>
      </c>
      <c r="C143" s="345">
        <f>0.13*5.94</f>
        <v>0.77220000000000011</v>
      </c>
    </row>
    <row r="144" spans="1:3" ht="17.25" x14ac:dyDescent="0.25">
      <c r="A144" s="353" t="s">
        <v>756</v>
      </c>
      <c r="B144" s="354" t="s">
        <v>268</v>
      </c>
      <c r="C144" s="347">
        <f>SUM(C139:C143)</f>
        <v>35.720999999999989</v>
      </c>
    </row>
    <row r="145" spans="1:3" x14ac:dyDescent="0.25">
      <c r="A145" s="257"/>
      <c r="B145" s="352"/>
      <c r="C145" s="344"/>
    </row>
    <row r="146" spans="1:3" ht="17.25" x14ac:dyDescent="0.25">
      <c r="A146" s="348" t="s">
        <v>757</v>
      </c>
      <c r="B146" s="352" t="s">
        <v>758</v>
      </c>
      <c r="C146" s="346">
        <f>37.35*0.15</f>
        <v>5.6025</v>
      </c>
    </row>
    <row r="147" spans="1:3" x14ac:dyDescent="0.25">
      <c r="A147" s="257"/>
      <c r="B147" s="352"/>
      <c r="C147" s="344"/>
    </row>
    <row r="148" spans="1:3" ht="32.25" x14ac:dyDescent="0.25">
      <c r="A148" s="348" t="s">
        <v>759</v>
      </c>
      <c r="B148" s="352"/>
      <c r="C148" s="346">
        <v>6.01</v>
      </c>
    </row>
    <row r="149" spans="1:3" x14ac:dyDescent="0.25">
      <c r="A149" s="257"/>
      <c r="B149" s="352"/>
      <c r="C149" s="344"/>
    </row>
    <row r="150" spans="1:3" ht="17.25" x14ac:dyDescent="0.25">
      <c r="A150" s="257" t="s">
        <v>760</v>
      </c>
      <c r="B150" s="352" t="s">
        <v>761</v>
      </c>
      <c r="C150" s="345">
        <f>6.07*0.9+6.05*2.5</f>
        <v>20.588000000000001</v>
      </c>
    </row>
    <row r="151" spans="1:3" ht="17.25" x14ac:dyDescent="0.25">
      <c r="A151" s="257" t="s">
        <v>762</v>
      </c>
      <c r="B151" s="352" t="s">
        <v>763</v>
      </c>
      <c r="C151" s="345">
        <f>5.95*1.8+5.93*2.4</f>
        <v>24.942</v>
      </c>
    </row>
    <row r="152" spans="1:3" ht="27" customHeight="1" x14ac:dyDescent="0.25">
      <c r="A152" s="257" t="s">
        <v>764</v>
      </c>
      <c r="B152" s="352" t="s">
        <v>765</v>
      </c>
      <c r="C152" s="345">
        <v>10.58</v>
      </c>
    </row>
    <row r="153" spans="1:3" ht="32.25" customHeight="1" x14ac:dyDescent="0.25">
      <c r="A153" s="257" t="s">
        <v>766</v>
      </c>
      <c r="B153" s="352" t="s">
        <v>767</v>
      </c>
      <c r="C153" s="345">
        <f>5.95*0.07+5.93*0.07+5.95*0.2+5.93*0.2</f>
        <v>3.2076000000000002</v>
      </c>
    </row>
    <row r="154" spans="1:3" ht="17.25" x14ac:dyDescent="0.25">
      <c r="A154" s="348" t="s">
        <v>768</v>
      </c>
      <c r="B154" s="351" t="s">
        <v>268</v>
      </c>
      <c r="C154" s="346">
        <f>SUM(C150:C153)</f>
        <v>59.317599999999999</v>
      </c>
    </row>
    <row r="155" spans="1:3" x14ac:dyDescent="0.25">
      <c r="A155" s="257"/>
      <c r="B155" s="352"/>
      <c r="C155" s="344"/>
    </row>
    <row r="156" spans="1:3" ht="17.25" x14ac:dyDescent="0.25">
      <c r="A156" s="257" t="s">
        <v>769</v>
      </c>
      <c r="B156" s="352" t="s">
        <v>770</v>
      </c>
      <c r="C156" s="345">
        <f>6.05*2.7</f>
        <v>16.335000000000001</v>
      </c>
    </row>
    <row r="157" spans="1:3" ht="17.25" x14ac:dyDescent="0.25">
      <c r="A157" s="257" t="s">
        <v>771</v>
      </c>
      <c r="B157" s="352" t="s">
        <v>772</v>
      </c>
      <c r="C157" s="345">
        <f>5.94*2</f>
        <v>11.88</v>
      </c>
    </row>
    <row r="158" spans="1:3" ht="17.25" x14ac:dyDescent="0.25">
      <c r="A158" s="348" t="s">
        <v>773</v>
      </c>
      <c r="B158" s="351" t="s">
        <v>268</v>
      </c>
      <c r="C158" s="346">
        <f>SUM(C156:C157)</f>
        <v>28.215000000000003</v>
      </c>
    </row>
    <row r="159" spans="1:3" x14ac:dyDescent="0.25">
      <c r="A159" s="257"/>
      <c r="B159" s="352"/>
      <c r="C159" s="344"/>
    </row>
    <row r="160" spans="1:3" x14ac:dyDescent="0.25">
      <c r="A160" s="348" t="s">
        <v>774</v>
      </c>
      <c r="B160" s="352" t="s">
        <v>775</v>
      </c>
      <c r="C160" s="346">
        <f>2.8+5.5+2.1</f>
        <v>10.4</v>
      </c>
    </row>
    <row r="161" spans="1:3" x14ac:dyDescent="0.25">
      <c r="A161" s="257"/>
      <c r="B161" s="352"/>
      <c r="C161" s="345"/>
    </row>
    <row r="162" spans="1:3" x14ac:dyDescent="0.25">
      <c r="A162" s="348" t="s">
        <v>776</v>
      </c>
      <c r="B162" s="352" t="s">
        <v>777</v>
      </c>
      <c r="C162" s="346">
        <f>6.06+5.94</f>
        <v>12</v>
      </c>
    </row>
    <row r="163" spans="1:3" x14ac:dyDescent="0.25">
      <c r="A163" s="257"/>
      <c r="B163" s="352"/>
      <c r="C163" s="345"/>
    </row>
    <row r="164" spans="1:3" x14ac:dyDescent="0.25">
      <c r="A164" s="348" t="s">
        <v>778</v>
      </c>
      <c r="B164" s="352" t="s">
        <v>779</v>
      </c>
      <c r="C164" s="346">
        <f>2*6.06+2*5.94</f>
        <v>24</v>
      </c>
    </row>
    <row r="165" spans="1:3" x14ac:dyDescent="0.25">
      <c r="A165" s="257"/>
      <c r="B165" s="352"/>
      <c r="C165" s="345"/>
    </row>
    <row r="166" spans="1:3" x14ac:dyDescent="0.25">
      <c r="A166" s="348" t="s">
        <v>780</v>
      </c>
      <c r="B166" s="352" t="s">
        <v>779</v>
      </c>
      <c r="C166" s="346">
        <f>2*6.06+2*5.94</f>
        <v>24</v>
      </c>
    </row>
  </sheetData>
  <pageMargins left="0.51181102362204722" right="0.5118110236220472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SO_03_1_Rekapitulace</vt:lpstr>
      <vt:lpstr>SO_03_KL_1a</vt:lpstr>
      <vt:lpstr>SO_03_KL_1b</vt:lpstr>
      <vt:lpstr>SO_03_KL_1</vt:lpstr>
      <vt:lpstr>SO_03_KL_2</vt:lpstr>
      <vt:lpstr>SO_03_KL_3</vt:lpstr>
      <vt:lpstr>SO_03_KL_3a</vt:lpstr>
      <vt:lpstr>03_4.1</vt:lpstr>
      <vt:lpstr>03_4.2</vt:lpstr>
      <vt:lpstr>03_4.3</vt:lpstr>
      <vt:lpstr>03_4.4</vt:lpstr>
      <vt:lpstr>03_4.5-7</vt:lpstr>
      <vt:lpstr>SO_03_1_Rekapitulace!Názvy_tisku</vt:lpstr>
      <vt:lpstr>'03_4.5-7'!Oblast_tisku</vt:lpstr>
      <vt:lpstr>SO_03_1_Rekapitulace!Oblast_tisku</vt:lpstr>
      <vt:lpstr>SO_03_KL_1!Oblast_tisku</vt:lpstr>
      <vt:lpstr>SO_03_KL_2!Oblast_tisku</vt:lpstr>
      <vt:lpstr>SO_03_KL_3!Oblast_tisku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Brazda, Daniel_x000d_</cp:lastModifiedBy>
  <cp:lastPrinted>2022-08-25T05:14:28Z</cp:lastPrinted>
  <dcterms:created xsi:type="dcterms:W3CDTF">2016-09-06T06:14:26Z</dcterms:created>
  <dcterms:modified xsi:type="dcterms:W3CDTF">2022-08-25T05:15:51Z</dcterms:modified>
</cp:coreProperties>
</file>